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aane\Desktop\Ipółr.2021_Sprawozdanie z wykonania budżetu\"/>
    </mc:Choice>
  </mc:AlternateContent>
  <xr:revisionPtr revIDLastSave="0" documentId="13_ncr:1_{5F2BF8CE-8EA5-485B-9635-AB5180F23DCF}" xr6:coauthVersionLast="47" xr6:coauthVersionMax="47" xr10:uidLastSave="{00000000-0000-0000-0000-000000000000}"/>
  <bookViews>
    <workbookView xWindow="-120" yWindow="-120" windowWidth="29040" windowHeight="15840" xr2:uid="{EB2E81D4-F674-413A-83C3-0C7A295D9B3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7" i="1"/>
  <c r="D87" i="1"/>
  <c r="E86" i="1"/>
  <c r="D86" i="1"/>
  <c r="E85" i="1"/>
  <c r="D85" i="1"/>
  <c r="E84" i="1"/>
  <c r="D84" i="1"/>
  <c r="L98" i="1"/>
  <c r="K98" i="1"/>
  <c r="J98" i="1"/>
  <c r="I98" i="1"/>
  <c r="H98" i="1"/>
  <c r="G98" i="1"/>
  <c r="F98" i="1"/>
  <c r="C98" i="1"/>
  <c r="L97" i="1"/>
  <c r="K97" i="1"/>
  <c r="J97" i="1"/>
  <c r="I97" i="1"/>
  <c r="H97" i="1"/>
  <c r="G97" i="1"/>
  <c r="F97" i="1"/>
  <c r="C97" i="1"/>
  <c r="L96" i="1"/>
  <c r="K96" i="1"/>
  <c r="J96" i="1"/>
  <c r="I96" i="1"/>
  <c r="H96" i="1"/>
  <c r="G96" i="1"/>
  <c r="F96" i="1"/>
  <c r="C96" i="1"/>
  <c r="L95" i="1"/>
  <c r="K95" i="1"/>
  <c r="J95" i="1"/>
  <c r="I95" i="1"/>
  <c r="H95" i="1"/>
  <c r="G95" i="1"/>
  <c r="F95" i="1"/>
  <c r="C95" i="1"/>
  <c r="L94" i="1"/>
  <c r="K94" i="1"/>
  <c r="J94" i="1"/>
  <c r="I94" i="1"/>
  <c r="H94" i="1"/>
  <c r="G94" i="1"/>
  <c r="F94" i="1"/>
  <c r="C94" i="1"/>
  <c r="L93" i="1"/>
  <c r="K93" i="1"/>
  <c r="J93" i="1"/>
  <c r="I93" i="1"/>
  <c r="H93" i="1"/>
  <c r="G93" i="1"/>
  <c r="F93" i="1"/>
  <c r="C93" i="1"/>
  <c r="L92" i="1"/>
  <c r="K92" i="1"/>
  <c r="J92" i="1"/>
  <c r="I92" i="1"/>
  <c r="H92" i="1"/>
  <c r="G92" i="1"/>
  <c r="F92" i="1"/>
  <c r="C92" i="1"/>
  <c r="L91" i="1"/>
  <c r="K91" i="1"/>
  <c r="J91" i="1"/>
  <c r="I91" i="1"/>
  <c r="H91" i="1"/>
  <c r="G91" i="1"/>
  <c r="F91" i="1"/>
  <c r="C91" i="1"/>
  <c r="L90" i="1"/>
  <c r="K90" i="1"/>
  <c r="J90" i="1"/>
  <c r="I90" i="1"/>
  <c r="H90" i="1"/>
  <c r="G90" i="1"/>
  <c r="F90" i="1"/>
  <c r="C90" i="1"/>
  <c r="L89" i="1"/>
  <c r="K89" i="1"/>
  <c r="J89" i="1"/>
  <c r="I89" i="1"/>
  <c r="H89" i="1"/>
  <c r="G89" i="1"/>
  <c r="F89" i="1"/>
  <c r="C89" i="1"/>
  <c r="L88" i="1"/>
  <c r="K88" i="1"/>
  <c r="J88" i="1"/>
  <c r="I88" i="1"/>
  <c r="H88" i="1"/>
  <c r="G88" i="1"/>
  <c r="F88" i="1"/>
  <c r="C88" i="1"/>
  <c r="L87" i="1"/>
  <c r="K87" i="1"/>
  <c r="J87" i="1"/>
  <c r="I87" i="1"/>
  <c r="H87" i="1"/>
  <c r="G87" i="1"/>
  <c r="F87" i="1"/>
  <c r="C87" i="1"/>
  <c r="L86" i="1"/>
  <c r="K86" i="1"/>
  <c r="J86" i="1"/>
  <c r="I86" i="1"/>
  <c r="H86" i="1"/>
  <c r="G86" i="1"/>
  <c r="F86" i="1"/>
  <c r="C86" i="1"/>
  <c r="L85" i="1"/>
  <c r="K85" i="1"/>
  <c r="J85" i="1"/>
  <c r="I85" i="1"/>
  <c r="H85" i="1"/>
  <c r="G85" i="1"/>
  <c r="F85" i="1"/>
  <c r="C85" i="1"/>
  <c r="L84" i="1"/>
  <c r="K84" i="1"/>
  <c r="J84" i="1"/>
  <c r="I84" i="1"/>
  <c r="H84" i="1"/>
  <c r="G84" i="1"/>
  <c r="F84" i="1"/>
  <c r="C84" i="1"/>
  <c r="L83" i="1"/>
  <c r="K83" i="1"/>
  <c r="J83" i="1"/>
  <c r="I83" i="1"/>
  <c r="H83" i="1"/>
  <c r="G83" i="1"/>
  <c r="F83" i="1"/>
  <c r="C83" i="1"/>
  <c r="L82" i="1"/>
  <c r="K82" i="1"/>
  <c r="J82" i="1"/>
  <c r="I82" i="1"/>
  <c r="H82" i="1"/>
  <c r="G82" i="1"/>
  <c r="F82" i="1"/>
  <c r="C82" i="1"/>
  <c r="L81" i="1"/>
  <c r="K81" i="1"/>
  <c r="J81" i="1"/>
  <c r="I81" i="1"/>
  <c r="H81" i="1"/>
  <c r="G81" i="1"/>
  <c r="F81" i="1"/>
  <c r="C81" i="1"/>
  <c r="L79" i="1"/>
  <c r="K79" i="1"/>
  <c r="J79" i="1"/>
  <c r="I79" i="1"/>
  <c r="H79" i="1"/>
  <c r="G79" i="1"/>
  <c r="F79" i="1"/>
  <c r="C79" i="1"/>
  <c r="L78" i="1"/>
  <c r="K78" i="1"/>
  <c r="J78" i="1"/>
  <c r="I78" i="1"/>
  <c r="H78" i="1"/>
  <c r="G78" i="1"/>
  <c r="F78" i="1"/>
  <c r="C78" i="1"/>
  <c r="L77" i="1"/>
  <c r="K77" i="1"/>
  <c r="J77" i="1"/>
  <c r="I77" i="1"/>
  <c r="H77" i="1"/>
  <c r="G77" i="1"/>
  <c r="F77" i="1"/>
  <c r="C77" i="1"/>
  <c r="L76" i="1"/>
  <c r="K76" i="1"/>
  <c r="J76" i="1"/>
  <c r="I76" i="1"/>
  <c r="H76" i="1"/>
  <c r="G76" i="1"/>
  <c r="F76" i="1"/>
  <c r="C76" i="1"/>
  <c r="L75" i="1"/>
  <c r="K75" i="1"/>
  <c r="J75" i="1"/>
  <c r="I75" i="1"/>
  <c r="H75" i="1"/>
  <c r="G75" i="1"/>
  <c r="F75" i="1"/>
  <c r="C75" i="1"/>
  <c r="L74" i="1"/>
  <c r="K74" i="1"/>
  <c r="J74" i="1"/>
  <c r="I74" i="1"/>
  <c r="H74" i="1"/>
  <c r="G74" i="1"/>
  <c r="F74" i="1"/>
  <c r="C74" i="1"/>
  <c r="L73" i="1"/>
  <c r="K73" i="1"/>
  <c r="J73" i="1"/>
  <c r="I73" i="1"/>
  <c r="H73" i="1"/>
  <c r="G73" i="1"/>
  <c r="F73" i="1"/>
  <c r="C73" i="1"/>
  <c r="L72" i="1"/>
  <c r="K72" i="1"/>
  <c r="J72" i="1"/>
  <c r="I72" i="1"/>
  <c r="H72" i="1"/>
  <c r="G72" i="1"/>
  <c r="F72" i="1"/>
  <c r="C72" i="1"/>
  <c r="L71" i="1"/>
  <c r="K71" i="1"/>
  <c r="J71" i="1"/>
  <c r="I71" i="1"/>
  <c r="H71" i="1"/>
  <c r="G71" i="1"/>
  <c r="F71" i="1"/>
  <c r="C71" i="1"/>
  <c r="L70" i="1"/>
  <c r="K70" i="1"/>
  <c r="J70" i="1"/>
  <c r="I70" i="1"/>
  <c r="H70" i="1"/>
  <c r="G70" i="1"/>
  <c r="F70" i="1"/>
  <c r="C70" i="1"/>
  <c r="L69" i="1"/>
  <c r="K69" i="1"/>
  <c r="J69" i="1"/>
  <c r="I69" i="1"/>
  <c r="H69" i="1"/>
  <c r="G69" i="1"/>
  <c r="F69" i="1"/>
  <c r="C69" i="1"/>
  <c r="L68" i="1"/>
  <c r="K68" i="1"/>
  <c r="J68" i="1"/>
  <c r="I68" i="1"/>
  <c r="H68" i="1"/>
  <c r="G68" i="1"/>
  <c r="F68" i="1"/>
  <c r="C68" i="1"/>
  <c r="L64" i="1"/>
  <c r="K64" i="1"/>
  <c r="J64" i="1"/>
  <c r="I64" i="1"/>
  <c r="H64" i="1"/>
  <c r="G64" i="1"/>
  <c r="F64" i="1"/>
  <c r="C64" i="1"/>
  <c r="L63" i="1"/>
  <c r="K63" i="1"/>
  <c r="J63" i="1"/>
  <c r="I63" i="1"/>
  <c r="H63" i="1"/>
  <c r="G63" i="1"/>
  <c r="F63" i="1"/>
  <c r="C63" i="1"/>
  <c r="L62" i="1"/>
  <c r="K62" i="1"/>
  <c r="J62" i="1"/>
  <c r="I62" i="1"/>
  <c r="H62" i="1"/>
  <c r="G62" i="1"/>
  <c r="F62" i="1"/>
  <c r="C62" i="1"/>
  <c r="L61" i="1"/>
  <c r="K61" i="1"/>
  <c r="J61" i="1"/>
  <c r="I61" i="1"/>
  <c r="H61" i="1"/>
  <c r="G61" i="1"/>
  <c r="F61" i="1"/>
  <c r="C61" i="1"/>
  <c r="L60" i="1"/>
  <c r="K60" i="1"/>
  <c r="J60" i="1"/>
  <c r="I60" i="1"/>
  <c r="H60" i="1"/>
  <c r="G60" i="1"/>
  <c r="F60" i="1"/>
  <c r="C60" i="1"/>
  <c r="L59" i="1"/>
  <c r="K59" i="1"/>
  <c r="J59" i="1"/>
  <c r="I59" i="1"/>
  <c r="H59" i="1"/>
  <c r="G59" i="1"/>
  <c r="F59" i="1"/>
  <c r="C59" i="1"/>
  <c r="L58" i="1"/>
  <c r="K58" i="1"/>
  <c r="J58" i="1"/>
  <c r="I58" i="1"/>
  <c r="H58" i="1"/>
  <c r="G58" i="1"/>
  <c r="F58" i="1"/>
  <c r="C58" i="1"/>
  <c r="L57" i="1"/>
  <c r="K57" i="1"/>
  <c r="J57" i="1"/>
  <c r="I57" i="1"/>
  <c r="H57" i="1"/>
  <c r="G57" i="1"/>
  <c r="F57" i="1"/>
  <c r="C57" i="1"/>
  <c r="L55" i="1"/>
  <c r="K55" i="1"/>
  <c r="J55" i="1"/>
  <c r="I55" i="1"/>
  <c r="H55" i="1"/>
  <c r="G55" i="1"/>
  <c r="F55" i="1"/>
  <c r="C55" i="1"/>
  <c r="L54" i="1"/>
  <c r="K54" i="1"/>
  <c r="J54" i="1"/>
  <c r="I54" i="1"/>
  <c r="H54" i="1"/>
  <c r="G54" i="1"/>
  <c r="F54" i="1"/>
  <c r="C54" i="1"/>
  <c r="L52" i="1"/>
  <c r="K52" i="1"/>
  <c r="J52" i="1"/>
  <c r="I52" i="1"/>
  <c r="H52" i="1"/>
  <c r="G52" i="1"/>
  <c r="F52" i="1"/>
  <c r="C52" i="1"/>
  <c r="L51" i="1"/>
  <c r="K51" i="1"/>
  <c r="J51" i="1"/>
  <c r="I51" i="1"/>
  <c r="H51" i="1"/>
  <c r="G51" i="1"/>
  <c r="F51" i="1"/>
  <c r="C51" i="1"/>
  <c r="L50" i="1"/>
  <c r="K50" i="1"/>
  <c r="J50" i="1"/>
  <c r="I50" i="1"/>
  <c r="H50" i="1"/>
  <c r="G50" i="1"/>
  <c r="F50" i="1"/>
  <c r="C50" i="1"/>
  <c r="L49" i="1"/>
  <c r="K49" i="1"/>
  <c r="J49" i="1"/>
  <c r="I49" i="1"/>
  <c r="H49" i="1"/>
  <c r="G49" i="1"/>
  <c r="F49" i="1"/>
  <c r="C49" i="1"/>
  <c r="L48" i="1"/>
  <c r="K48" i="1"/>
  <c r="J48" i="1"/>
  <c r="I48" i="1"/>
  <c r="H48" i="1"/>
  <c r="G48" i="1"/>
  <c r="F48" i="1"/>
  <c r="C48" i="1"/>
  <c r="L47" i="1"/>
  <c r="K47" i="1"/>
  <c r="J47" i="1"/>
  <c r="I47" i="1"/>
  <c r="H47" i="1"/>
  <c r="G47" i="1"/>
  <c r="F47" i="1"/>
  <c r="C47" i="1"/>
  <c r="L46" i="1"/>
  <c r="K46" i="1"/>
  <c r="J46" i="1"/>
  <c r="I46" i="1"/>
  <c r="H46" i="1"/>
  <c r="G46" i="1"/>
  <c r="F46" i="1"/>
  <c r="C46" i="1"/>
  <c r="L45" i="1"/>
  <c r="K45" i="1"/>
  <c r="J45" i="1"/>
  <c r="I45" i="1"/>
  <c r="H45" i="1"/>
  <c r="G45" i="1"/>
  <c r="F45" i="1"/>
  <c r="C45" i="1"/>
  <c r="L44" i="1"/>
  <c r="K44" i="1"/>
  <c r="J44" i="1"/>
  <c r="I44" i="1"/>
  <c r="H44" i="1"/>
  <c r="G44" i="1"/>
  <c r="F44" i="1"/>
  <c r="C44" i="1"/>
  <c r="L43" i="1"/>
  <c r="K43" i="1"/>
  <c r="J43" i="1"/>
  <c r="I43" i="1"/>
  <c r="H43" i="1"/>
  <c r="G43" i="1"/>
  <c r="F43" i="1"/>
  <c r="C43" i="1"/>
  <c r="L42" i="1"/>
  <c r="K42" i="1"/>
  <c r="J42" i="1"/>
  <c r="I42" i="1"/>
  <c r="H42" i="1"/>
  <c r="G42" i="1"/>
  <c r="F42" i="1"/>
  <c r="C42" i="1"/>
  <c r="L41" i="1"/>
  <c r="K41" i="1"/>
  <c r="J41" i="1"/>
  <c r="I41" i="1"/>
  <c r="H41" i="1"/>
  <c r="G41" i="1"/>
  <c r="F41" i="1"/>
  <c r="C41" i="1"/>
  <c r="L40" i="1"/>
  <c r="K40" i="1"/>
  <c r="J40" i="1"/>
  <c r="I40" i="1"/>
  <c r="H40" i="1"/>
  <c r="G40" i="1"/>
  <c r="F40" i="1"/>
  <c r="C40" i="1"/>
  <c r="L39" i="1"/>
  <c r="K39" i="1"/>
  <c r="J39" i="1"/>
  <c r="I39" i="1"/>
  <c r="H39" i="1"/>
  <c r="G39" i="1"/>
  <c r="F39" i="1"/>
  <c r="C39" i="1"/>
  <c r="L38" i="1"/>
  <c r="K38" i="1"/>
  <c r="J38" i="1"/>
  <c r="I38" i="1"/>
  <c r="H38" i="1"/>
  <c r="G38" i="1"/>
  <c r="F38" i="1"/>
  <c r="C38" i="1"/>
  <c r="L37" i="1"/>
  <c r="K37" i="1"/>
  <c r="J37" i="1"/>
  <c r="I37" i="1"/>
  <c r="H37" i="1"/>
  <c r="G37" i="1"/>
  <c r="F37" i="1"/>
  <c r="C37" i="1"/>
  <c r="L36" i="1"/>
  <c r="K36" i="1"/>
  <c r="J36" i="1"/>
  <c r="I36" i="1"/>
  <c r="H36" i="1"/>
  <c r="G36" i="1"/>
  <c r="F36" i="1"/>
  <c r="C36" i="1"/>
  <c r="L35" i="1"/>
  <c r="K35" i="1"/>
  <c r="J35" i="1"/>
  <c r="I35" i="1"/>
  <c r="H35" i="1"/>
  <c r="G35" i="1"/>
  <c r="F35" i="1"/>
  <c r="C35" i="1"/>
  <c r="L34" i="1"/>
  <c r="K34" i="1"/>
  <c r="J34" i="1"/>
  <c r="I34" i="1"/>
  <c r="H34" i="1"/>
  <c r="G34" i="1"/>
  <c r="F34" i="1"/>
  <c r="C34" i="1"/>
  <c r="L33" i="1"/>
  <c r="K33" i="1"/>
  <c r="J33" i="1"/>
  <c r="I33" i="1"/>
  <c r="H33" i="1"/>
  <c r="G33" i="1"/>
  <c r="F33" i="1"/>
  <c r="C33" i="1"/>
  <c r="L32" i="1"/>
  <c r="K32" i="1"/>
  <c r="J32" i="1"/>
  <c r="I32" i="1"/>
  <c r="H32" i="1"/>
  <c r="G32" i="1"/>
  <c r="F32" i="1"/>
  <c r="C32" i="1"/>
  <c r="L31" i="1"/>
  <c r="K31" i="1"/>
  <c r="J31" i="1"/>
  <c r="I31" i="1"/>
  <c r="H31" i="1"/>
  <c r="G31" i="1"/>
  <c r="F31" i="1"/>
  <c r="C31" i="1"/>
  <c r="L30" i="1"/>
  <c r="K30" i="1"/>
  <c r="J30" i="1"/>
  <c r="I30" i="1"/>
  <c r="H30" i="1"/>
  <c r="G30" i="1"/>
  <c r="F30" i="1"/>
  <c r="C30" i="1"/>
  <c r="L29" i="1"/>
  <c r="K29" i="1"/>
  <c r="J29" i="1"/>
  <c r="I29" i="1"/>
  <c r="H29" i="1"/>
  <c r="G29" i="1"/>
  <c r="F29" i="1"/>
  <c r="C29" i="1"/>
  <c r="L28" i="1"/>
  <c r="K28" i="1"/>
  <c r="J28" i="1"/>
  <c r="I28" i="1"/>
  <c r="H28" i="1"/>
  <c r="G28" i="1"/>
  <c r="F28" i="1"/>
  <c r="C28" i="1"/>
  <c r="L27" i="1"/>
  <c r="K27" i="1"/>
  <c r="J27" i="1"/>
  <c r="I27" i="1"/>
  <c r="H27" i="1"/>
  <c r="G27" i="1"/>
  <c r="F27" i="1"/>
  <c r="C27" i="1"/>
  <c r="L26" i="1"/>
  <c r="K26" i="1"/>
  <c r="J26" i="1"/>
  <c r="I26" i="1"/>
  <c r="H26" i="1"/>
  <c r="G26" i="1"/>
  <c r="F26" i="1"/>
  <c r="C26" i="1"/>
  <c r="L25" i="1"/>
  <c r="K25" i="1"/>
  <c r="J25" i="1"/>
  <c r="I25" i="1"/>
  <c r="H25" i="1"/>
  <c r="G25" i="1"/>
  <c r="F25" i="1"/>
  <c r="C25" i="1"/>
  <c r="L24" i="1"/>
  <c r="K24" i="1"/>
  <c r="J24" i="1"/>
  <c r="I24" i="1"/>
  <c r="H24" i="1"/>
  <c r="G24" i="1"/>
  <c r="F24" i="1"/>
  <c r="C24" i="1"/>
  <c r="L23" i="1"/>
  <c r="K23" i="1"/>
  <c r="J23" i="1"/>
  <c r="I23" i="1"/>
  <c r="H23" i="1"/>
  <c r="G23" i="1"/>
  <c r="F23" i="1"/>
  <c r="C23" i="1"/>
  <c r="L22" i="1"/>
  <c r="K22" i="1"/>
  <c r="J22" i="1"/>
  <c r="I22" i="1"/>
  <c r="H22" i="1"/>
  <c r="G22" i="1"/>
  <c r="F22" i="1"/>
  <c r="C22" i="1"/>
  <c r="L21" i="1"/>
  <c r="K21" i="1"/>
  <c r="J21" i="1"/>
  <c r="I21" i="1"/>
  <c r="H21" i="1"/>
  <c r="G21" i="1"/>
  <c r="F21" i="1"/>
  <c r="C21" i="1"/>
  <c r="L20" i="1"/>
  <c r="K20" i="1"/>
  <c r="J20" i="1"/>
  <c r="I20" i="1"/>
  <c r="H20" i="1"/>
  <c r="G20" i="1"/>
  <c r="F20" i="1"/>
  <c r="C20" i="1"/>
  <c r="L19" i="1"/>
  <c r="K19" i="1"/>
  <c r="J19" i="1"/>
  <c r="I19" i="1"/>
  <c r="H19" i="1"/>
  <c r="G19" i="1"/>
  <c r="F19" i="1"/>
  <c r="C19" i="1"/>
  <c r="L18" i="1"/>
  <c r="K18" i="1"/>
  <c r="J18" i="1"/>
  <c r="I18" i="1"/>
  <c r="H18" i="1"/>
  <c r="G18" i="1"/>
  <c r="F18" i="1"/>
  <c r="C18" i="1"/>
  <c r="L17" i="1"/>
  <c r="K17" i="1"/>
  <c r="J17" i="1"/>
  <c r="I17" i="1"/>
  <c r="H17" i="1"/>
  <c r="G17" i="1"/>
  <c r="F17" i="1"/>
  <c r="C17" i="1"/>
  <c r="L16" i="1"/>
  <c r="K16" i="1"/>
  <c r="J16" i="1"/>
  <c r="I16" i="1"/>
  <c r="H16" i="1"/>
  <c r="G16" i="1"/>
  <c r="F16" i="1"/>
  <c r="C16" i="1"/>
  <c r="L15" i="1"/>
  <c r="K15" i="1"/>
  <c r="J15" i="1"/>
  <c r="I15" i="1"/>
  <c r="H15" i="1"/>
  <c r="G15" i="1"/>
  <c r="F15" i="1"/>
  <c r="C15" i="1"/>
  <c r="L14" i="1"/>
  <c r="K14" i="1"/>
  <c r="J14" i="1"/>
  <c r="I14" i="1"/>
  <c r="H14" i="1"/>
  <c r="G14" i="1"/>
  <c r="F14" i="1"/>
  <c r="C14" i="1"/>
  <c r="L13" i="1"/>
  <c r="K13" i="1"/>
  <c r="J13" i="1"/>
  <c r="I13" i="1"/>
  <c r="H13" i="1"/>
  <c r="G13" i="1"/>
  <c r="F13" i="1"/>
  <c r="C13" i="1"/>
  <c r="L12" i="1"/>
  <c r="K12" i="1"/>
  <c r="J12" i="1"/>
  <c r="I12" i="1"/>
  <c r="H12" i="1"/>
  <c r="G12" i="1"/>
  <c r="F12" i="1"/>
  <c r="C12" i="1"/>
  <c r="L11" i="1"/>
  <c r="K11" i="1"/>
  <c r="J11" i="1"/>
  <c r="I11" i="1"/>
  <c r="H11" i="1"/>
  <c r="G11" i="1"/>
  <c r="F11" i="1"/>
  <c r="C11" i="1"/>
  <c r="L10" i="1"/>
  <c r="K10" i="1"/>
  <c r="J10" i="1"/>
  <c r="I10" i="1"/>
  <c r="H10" i="1"/>
  <c r="G10" i="1"/>
  <c r="F10" i="1"/>
  <c r="C10" i="1"/>
  <c r="L9" i="1"/>
  <c r="K9" i="1"/>
  <c r="J9" i="1"/>
  <c r="I9" i="1"/>
  <c r="H9" i="1"/>
  <c r="G9" i="1"/>
  <c r="F9" i="1"/>
  <c r="C9" i="1"/>
  <c r="L8" i="1"/>
  <c r="K8" i="1"/>
  <c r="J8" i="1"/>
  <c r="I8" i="1"/>
  <c r="H8" i="1"/>
  <c r="G8" i="1"/>
  <c r="F8" i="1"/>
  <c r="C8" i="1"/>
  <c r="L7" i="1"/>
  <c r="K7" i="1"/>
  <c r="J7" i="1"/>
  <c r="I7" i="1"/>
  <c r="H7" i="1"/>
  <c r="G7" i="1"/>
  <c r="F7" i="1"/>
  <c r="C7" i="1"/>
  <c r="L6" i="1"/>
  <c r="K6" i="1"/>
  <c r="J6" i="1"/>
  <c r="I6" i="1"/>
  <c r="H6" i="1"/>
  <c r="G6" i="1"/>
  <c r="F6" i="1"/>
  <c r="C6" i="1"/>
  <c r="L5" i="1"/>
  <c r="K5" i="1"/>
  <c r="J5" i="1"/>
  <c r="I5" i="1"/>
  <c r="H5" i="1"/>
  <c r="G5" i="1"/>
  <c r="F5" i="1"/>
  <c r="C5" i="1"/>
  <c r="L4" i="1"/>
  <c r="K4" i="1"/>
  <c r="J4" i="1"/>
  <c r="I4" i="1"/>
  <c r="H4" i="1"/>
  <c r="G4" i="1"/>
  <c r="F4" i="1"/>
  <c r="C4" i="1"/>
</calcChain>
</file>

<file path=xl/sharedStrings.xml><?xml version="1.0" encoding="utf-8"?>
<sst xmlns="http://schemas.openxmlformats.org/spreadsheetml/2006/main" count="277" uniqueCount="187">
  <si>
    <t>Lp.</t>
  </si>
  <si>
    <t>Wyszczególnienie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</si>
  <si>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</si>
  <si>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</si>
  <si>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</si>
  <si>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</si>
  <si>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</si>
  <si>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</si>
  <si>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</si>
  <si>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</si>
  <si>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</si>
  <si>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</si>
  <si>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</si>
  <si>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</si>
  <si>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</si>
  <si>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</si>
  <si>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</si>
  <si>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</si>
  <si>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</si>
  <si>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</si>
  <si>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</si>
  <si>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</si>
  <si>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</si>
  <si>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</si>
  <si>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</si>
  <si>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</si>
  <si>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</si>
  <si>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</si>
  <si>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</si>
  <si>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</si>
  <si>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</si>
  <si>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</si>
  <si>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</si>
  <si>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</si>
  <si>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</si>
  <si>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</si>
  <si>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</si>
  <si>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</si>
  <si>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</si>
  <si>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</si>
  <si>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</si>
  <si>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</si>
  <si>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</si>
  <si>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</si>
  <si>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</si>
  <si>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</si>
  <si>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</si>
  <si>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</si>
  <si>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</si>
  <si>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</si>
  <si>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</si>
  <si>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</si>
  <si>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</si>
  <si>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</si>
  <si>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</si>
  <si>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</si>
  <si>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</si>
  <si>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</si>
  <si>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</si>
  <si>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</si>
  <si>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</si>
  <si>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</si>
  <si>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</si>
  <si>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</si>
  <si>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</si>
  <si>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</si>
  <si>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</si>
  <si>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</si>
  <si>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</si>
  <si>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</si>
  <si>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</si>
  <si>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</si>
  <si>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</si>
  <si>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</si>
  <si>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</si>
  <si>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</si>
  <si>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</si>
  <si>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</si>
  <si>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</si>
  <si>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</si>
  <si>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</si>
  <si>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</si>
  <si>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</si>
  <si>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</si>
  <si>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</si>
  <si>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</si>
  <si>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</si>
  <si>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</si>
  <si>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</si>
  <si>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</si>
  <si>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</si>
  <si>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</si>
  <si>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x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</si>
  <si>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</si>
  <si>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</si>
  <si>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</si>
  <si>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</si>
  <si>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</si>
  <si>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</si>
  <si>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</si>
  <si>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8.1_vROD_2020</t>
  </si>
  <si>
    <t>8.1_vROD_2026</t>
  </si>
  <si>
    <t>8.2</t>
  </si>
  <si>
    <t>Relacja określona po prawej stronie nierówności we wzorze, o którym mowa w art. 243 ust. 1 ustawy, ustalona dla danego roku (wskaźnik jednoroczny)</t>
  </si>
  <si>
    <t>8.2_v2020</t>
  </si>
  <si>
    <t>8.2_v2026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</si>
  <si>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</si>
  <si>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</si>
  <si>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8.3.1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</si>
  <si>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</si>
  <si>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</si>
  <si>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</si>
  <si>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</si>
  <si>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</si>
  <si>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</si>
  <si>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</si>
  <si>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</si>
  <si>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</si>
  <si>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</si>
  <si>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</si>
  <si>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</si>
  <si>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</si>
  <si>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</si>
  <si>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</si>
  <si>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</si>
  <si>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</si>
  <si>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</si>
  <si>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</si>
  <si>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</si>
  <si>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</si>
  <si>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</si>
  <si>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</si>
  <si>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</si>
  <si>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</si>
  <si>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</si>
  <si>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</si>
  <si>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</si>
  <si>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</si>
  <si>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</si>
  <si>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</si>
  <si>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</si>
  <si>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</si>
  <si>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</si>
  <si>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</si>
  <si>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</si>
  <si>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</si>
  <si>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</si>
  <si>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</si>
  <si>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</si>
  <si>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</si>
  <si>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</si>
  <si>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</si>
  <si>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</si>
  <si>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</si>
  <si>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</si>
  <si>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</si>
  <si>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</si>
  <si>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</si>
  <si>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</si>
  <si>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</si>
  <si>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</si>
  <si>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</si>
  <si>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</si>
  <si>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</si>
  <si>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</si>
  <si>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</si>
  <si>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</si>
  <si>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</si>
  <si>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</si>
  <si>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</si>
  <si>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</si>
  <si>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 xml:space="preserve"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 </t>
  </si>
  <si>
    <t>10.11</t>
  </si>
  <si>
    <t>Wydatki bieżące podlegające ustawowemu wyłączeniu z limitu spłaty zobowiązań</t>
  </si>
  <si>
    <t>% wykonania</t>
  </si>
  <si>
    <t>2022</t>
  </si>
  <si>
    <t>2023</t>
  </si>
  <si>
    <t>2024</t>
  </si>
  <si>
    <t>2025</t>
  </si>
  <si>
    <t>2026</t>
  </si>
  <si>
    <t>2027</t>
  </si>
  <si>
    <t>2028</t>
  </si>
  <si>
    <t>Spełniona</t>
  </si>
  <si>
    <t>Wieloletnia Prognoza Finansowa</t>
  </si>
  <si>
    <t>Załącznik Nr 1</t>
  </si>
  <si>
    <t>Wykonanie      na dzień 30.06.2021</t>
  </si>
  <si>
    <t>Plan na dzień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</si>
</sst>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49" fontId="2" fillId="2" borderId="2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indent="1"/>
    </xf>
    <xf numFmtId="164" fontId="5" fillId="0" borderId="2" xfId="1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3"/>
    </xf>
    <xf numFmtId="4" fontId="6" fillId="3" borderId="2" xfId="1" applyNumberFormat="1" applyFont="1" applyFill="1" applyBorder="1" applyAlignment="1">
      <alignment vertical="center" shrinkToFit="1"/>
    </xf>
    <xf numFmtId="164" fontId="2" fillId="0" borderId="2" xfId="1" applyNumberFormat="1" applyFont="1" applyBorder="1" applyAlignment="1">
      <alignment horizontal="center" vertical="center" shrinkToFit="1"/>
    </xf>
    <xf numFmtId="164" fontId="5" fillId="0" borderId="2" xfId="1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 indent="4"/>
    </xf>
    <xf numFmtId="0" fontId="4" fillId="0" borderId="2" xfId="0" quotePrefix="1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10" fontId="5" fillId="0" borderId="2" xfId="1" applyNumberFormat="1" applyFont="1" applyBorder="1" applyAlignment="1">
      <alignment vertical="center" shrinkToFit="1"/>
    </xf>
    <xf numFmtId="164" fontId="5" fillId="0" borderId="2" xfId="1" applyNumberFormat="1" applyFont="1" applyFill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left" vertical="center" wrapText="1" indent="1"/>
    </xf>
    <xf numFmtId="4" fontId="5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Normalny" xfId="0" builtinId="0"/>
    <cellStyle name="Normalny 6 2" xfId="1" xr:uid="{BEAEC2EF-F327-4659-BC90-35CE8D2D2E01}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68C03-6E16-4866-85C7-B9639336EE8F}">
  <sheetPr>
    <pageSetUpPr fitToPage="1"/>
  </sheetPr>
  <dimension ref="A1:L148"/>
  <sheetViews>
    <sheetView tabSelected="1" topLeftCell="A55" workbookViewId="0">
      <selection activeCell="C8" sqref="C8"/>
    </sheetView>
  </sheetViews>
  <sheetFormatPr defaultRowHeight="15"/>
  <cols>
    <col min="2" max="2" width="43.140625" customWidth="1"/>
    <col min="3" max="12" width="15.7109375" customWidth="1"/>
  </cols>
  <sheetData>
    <row r="1" spans="1:12" s="1" customFormat="1">
      <c r="B1" s="23" t="s">
        <v>183</v>
      </c>
      <c r="K1" s="25" t="s">
        <v>184</v>
      </c>
      <c r="L1" s="25"/>
    </row>
    <row r="2" spans="1:12" s="1" customFormat="1" ht="14.25">
      <c r="B2" s="24"/>
    </row>
    <row r="3" spans="1:12" s="1" customFormat="1" ht="45">
      <c r="A3" s="2" t="s">
        <v>0</v>
      </c>
      <c r="B3" s="2" t="s">
        <v>1</v>
      </c>
      <c r="C3" s="3" t="s">
        <v>186</v>
      </c>
      <c r="D3" s="3" t="s">
        <v>185</v>
      </c>
      <c r="E3" s="3" t="s">
        <v>174</v>
      </c>
      <c r="F3" s="2" t="s">
        <v>175</v>
      </c>
      <c r="G3" s="2" t="s">
        <v>176</v>
      </c>
      <c r="H3" s="2" t="s">
        <v>177</v>
      </c>
      <c r="I3" s="2" t="s">
        <v>178</v>
      </c>
      <c r="J3" s="2" t="s">
        <v>179</v>
      </c>
      <c r="K3" s="2" t="s">
        <v>180</v>
      </c>
      <c r="L3" s="2" t="s">
        <v>181</v>
      </c>
    </row>
    <row r="4" spans="1:12" s="1" customFormat="1">
      <c r="A4" s="4">
        <v>1</v>
      </c>
      <c r="B4" s="5" t="s">
        <v>2</v>
      </c>
      <c r="C4" s="6">
        <f>31395858.76</f>
        <v>31395858.760000002</v>
      </c>
      <c r="D4" s="6">
        <v>16242109.470000001</v>
      </c>
      <c r="E4" s="6">
        <v>51.73</v>
      </c>
      <c r="F4" s="6">
        <f>30350000</f>
        <v>30350000</v>
      </c>
      <c r="G4" s="6">
        <f>30550000</f>
        <v>30550000</v>
      </c>
      <c r="H4" s="6">
        <f>30700000</f>
        <v>30700000</v>
      </c>
      <c r="I4" s="6">
        <f>31000000</f>
        <v>31000000</v>
      </c>
      <c r="J4" s="6">
        <f>31200000</f>
        <v>31200000</v>
      </c>
      <c r="K4" s="6">
        <f>31400000</f>
        <v>31400000</v>
      </c>
      <c r="L4" s="6">
        <f>31600000</f>
        <v>31600000</v>
      </c>
    </row>
    <row r="5" spans="1:12" s="1" customFormat="1" ht="14.25">
      <c r="A5" s="7" t="s">
        <v>3</v>
      </c>
      <c r="B5" s="8" t="s">
        <v>4</v>
      </c>
      <c r="C5" s="9">
        <f>30672786.76</f>
        <v>30672786.760000002</v>
      </c>
      <c r="D5" s="9">
        <v>16056359.699999999</v>
      </c>
      <c r="E5" s="9">
        <v>52.35</v>
      </c>
      <c r="F5" s="9">
        <f>30244422</f>
        <v>30244422</v>
      </c>
      <c r="G5" s="9">
        <f>30355861</f>
        <v>30355861</v>
      </c>
      <c r="H5" s="9">
        <f>30700000</f>
        <v>30700000</v>
      </c>
      <c r="I5" s="9">
        <f>31000000</f>
        <v>31000000</v>
      </c>
      <c r="J5" s="9">
        <f>31200000</f>
        <v>31200000</v>
      </c>
      <c r="K5" s="9">
        <f>31400000</f>
        <v>31400000</v>
      </c>
      <c r="L5" s="9">
        <f>31600000</f>
        <v>31600000</v>
      </c>
    </row>
    <row r="6" spans="1:12" s="1" customFormat="1" ht="42.75">
      <c r="A6" s="7" t="s">
        <v>5</v>
      </c>
      <c r="B6" s="10" t="s">
        <v>6</v>
      </c>
      <c r="C6" s="9">
        <f>3804797</f>
        <v>3804797</v>
      </c>
      <c r="D6" s="9">
        <v>1857430</v>
      </c>
      <c r="E6" s="9">
        <v>48.82</v>
      </c>
      <c r="F6" s="9">
        <f>3820000</f>
        <v>3820000</v>
      </c>
      <c r="G6" s="9">
        <f>3850000</f>
        <v>3850000</v>
      </c>
      <c r="H6" s="9">
        <f>3870000</f>
        <v>3870000</v>
      </c>
      <c r="I6" s="9">
        <f>3870000</f>
        <v>3870000</v>
      </c>
      <c r="J6" s="9">
        <f>3870000</f>
        <v>3870000</v>
      </c>
      <c r="K6" s="9">
        <f>3870000</f>
        <v>3870000</v>
      </c>
      <c r="L6" s="9">
        <f>3870000</f>
        <v>3870000</v>
      </c>
    </row>
    <row r="7" spans="1:12" s="1" customFormat="1" ht="28.5">
      <c r="A7" s="7" t="s">
        <v>7</v>
      </c>
      <c r="B7" s="10" t="s">
        <v>8</v>
      </c>
      <c r="C7" s="9">
        <f t="shared" ref="C7:L7" si="0">150000</f>
        <v>150000</v>
      </c>
      <c r="D7" s="9">
        <v>24111.71</v>
      </c>
      <c r="E7" s="9">
        <v>16.07</v>
      </c>
      <c r="F7" s="9">
        <f t="shared" si="0"/>
        <v>150000</v>
      </c>
      <c r="G7" s="9">
        <f t="shared" si="0"/>
        <v>150000</v>
      </c>
      <c r="H7" s="9">
        <f t="shared" si="0"/>
        <v>150000</v>
      </c>
      <c r="I7" s="9">
        <f t="shared" si="0"/>
        <v>150000</v>
      </c>
      <c r="J7" s="9">
        <f t="shared" si="0"/>
        <v>150000</v>
      </c>
      <c r="K7" s="9">
        <f t="shared" si="0"/>
        <v>150000</v>
      </c>
      <c r="L7" s="9">
        <f t="shared" si="0"/>
        <v>150000</v>
      </c>
    </row>
    <row r="8" spans="1:12" s="1" customFormat="1" ht="14.25">
      <c r="A8" s="7" t="s">
        <v>9</v>
      </c>
      <c r="B8" s="10" t="s">
        <v>10</v>
      </c>
      <c r="C8" s="9">
        <f>10071556</f>
        <v>10071556</v>
      </c>
      <c r="D8" s="9">
        <v>5748394</v>
      </c>
      <c r="E8" s="9">
        <v>57.08</v>
      </c>
      <c r="F8" s="9">
        <f>10200000</f>
        <v>10200000</v>
      </c>
      <c r="G8" s="9">
        <f>10300000</f>
        <v>10300000</v>
      </c>
      <c r="H8" s="9">
        <f>10400000</f>
        <v>10400000</v>
      </c>
      <c r="I8" s="9">
        <f>10500000</f>
        <v>10500000</v>
      </c>
      <c r="J8" s="9">
        <f>10600000</f>
        <v>10600000</v>
      </c>
      <c r="K8" s="9">
        <f>10700000</f>
        <v>10700000</v>
      </c>
      <c r="L8" s="9">
        <f>10800000</f>
        <v>10800000</v>
      </c>
    </row>
    <row r="9" spans="1:12" s="1" customFormat="1" ht="28.5">
      <c r="A9" s="7" t="s">
        <v>11</v>
      </c>
      <c r="B9" s="10" t="s">
        <v>12</v>
      </c>
      <c r="C9" s="9">
        <f>10159399.76</f>
        <v>10159399.76</v>
      </c>
      <c r="D9" s="9">
        <v>5005082.6399999997</v>
      </c>
      <c r="E9" s="9">
        <v>49.27</v>
      </c>
      <c r="F9" s="9">
        <f>9500000</f>
        <v>9500000</v>
      </c>
      <c r="G9" s="9">
        <f>9450000</f>
        <v>9450000</v>
      </c>
      <c r="H9" s="9">
        <f>9500000</f>
        <v>9500000</v>
      </c>
      <c r="I9" s="9">
        <f>9650000</f>
        <v>9650000</v>
      </c>
      <c r="J9" s="9">
        <f>9600000</f>
        <v>9600000</v>
      </c>
      <c r="K9" s="9">
        <f>9650000</f>
        <v>9650000</v>
      </c>
      <c r="L9" s="9">
        <f>9700000</f>
        <v>9700000</v>
      </c>
    </row>
    <row r="10" spans="1:12" s="1" customFormat="1" ht="14.25">
      <c r="A10" s="7" t="s">
        <v>13</v>
      </c>
      <c r="B10" s="10" t="s">
        <v>14</v>
      </c>
      <c r="C10" s="9">
        <f>6487034</f>
        <v>6487034</v>
      </c>
      <c r="D10" s="9">
        <v>3421341.35</v>
      </c>
      <c r="E10" s="9">
        <v>52.74</v>
      </c>
      <c r="F10" s="9">
        <f>6574422</f>
        <v>6574422</v>
      </c>
      <c r="G10" s="9">
        <f>6605861</f>
        <v>6605861</v>
      </c>
      <c r="H10" s="9">
        <f>6780000</f>
        <v>6780000</v>
      </c>
      <c r="I10" s="9">
        <f>6830000</f>
        <v>6830000</v>
      </c>
      <c r="J10" s="9">
        <f>6980000</f>
        <v>6980000</v>
      </c>
      <c r="K10" s="9">
        <f>7030000</f>
        <v>7030000</v>
      </c>
      <c r="L10" s="9">
        <f>7080000</f>
        <v>7080000</v>
      </c>
    </row>
    <row r="11" spans="1:12" s="1" customFormat="1" ht="14.25">
      <c r="A11" s="7" t="s">
        <v>15</v>
      </c>
      <c r="B11" s="11" t="s">
        <v>16</v>
      </c>
      <c r="C11" s="9">
        <f t="shared" ref="C11:L11" si="1">1736500</f>
        <v>1736500</v>
      </c>
      <c r="D11" s="9">
        <v>955004.96</v>
      </c>
      <c r="E11" s="9">
        <v>55</v>
      </c>
      <c r="F11" s="9">
        <f t="shared" si="1"/>
        <v>1736500</v>
      </c>
      <c r="G11" s="9">
        <f t="shared" si="1"/>
        <v>1736500</v>
      </c>
      <c r="H11" s="9">
        <f t="shared" si="1"/>
        <v>1736500</v>
      </c>
      <c r="I11" s="9">
        <f t="shared" si="1"/>
        <v>1736500</v>
      </c>
      <c r="J11" s="9">
        <f t="shared" si="1"/>
        <v>1736500</v>
      </c>
      <c r="K11" s="9">
        <f t="shared" si="1"/>
        <v>1736500</v>
      </c>
      <c r="L11" s="9">
        <f t="shared" si="1"/>
        <v>1736500</v>
      </c>
    </row>
    <row r="12" spans="1:12" s="1" customFormat="1" ht="14.25">
      <c r="A12" s="7" t="s">
        <v>17</v>
      </c>
      <c r="B12" s="8" t="s">
        <v>18</v>
      </c>
      <c r="C12" s="9">
        <f>723072</f>
        <v>723072</v>
      </c>
      <c r="D12" s="9">
        <v>185749.77</v>
      </c>
      <c r="E12" s="9">
        <v>25.69</v>
      </c>
      <c r="F12" s="9">
        <f>105578</f>
        <v>105578</v>
      </c>
      <c r="G12" s="9">
        <f>194139</f>
        <v>194139</v>
      </c>
      <c r="H12" s="9">
        <f>0</f>
        <v>0</v>
      </c>
      <c r="I12" s="9">
        <f>0</f>
        <v>0</v>
      </c>
      <c r="J12" s="9">
        <f>0</f>
        <v>0</v>
      </c>
      <c r="K12" s="9">
        <f>0</f>
        <v>0</v>
      </c>
      <c r="L12" s="9">
        <f>0</f>
        <v>0</v>
      </c>
    </row>
    <row r="13" spans="1:12" s="1" customFormat="1" ht="14.25">
      <c r="A13" s="7" t="s">
        <v>19</v>
      </c>
      <c r="B13" s="10" t="s">
        <v>20</v>
      </c>
      <c r="C13" s="9">
        <f>0</f>
        <v>0</v>
      </c>
      <c r="D13" s="9">
        <v>0</v>
      </c>
      <c r="E13" s="9">
        <v>0</v>
      </c>
      <c r="F13" s="9">
        <f>0</f>
        <v>0</v>
      </c>
      <c r="G13" s="9">
        <f>0</f>
        <v>0</v>
      </c>
      <c r="H13" s="9">
        <f>0</f>
        <v>0</v>
      </c>
      <c r="I13" s="9">
        <f>0</f>
        <v>0</v>
      </c>
      <c r="J13" s="9">
        <f>0</f>
        <v>0</v>
      </c>
      <c r="K13" s="9">
        <f>0</f>
        <v>0</v>
      </c>
      <c r="L13" s="9">
        <f>0</f>
        <v>0</v>
      </c>
    </row>
    <row r="14" spans="1:12" s="1" customFormat="1" ht="28.5">
      <c r="A14" s="7" t="s">
        <v>21</v>
      </c>
      <c r="B14" s="10" t="s">
        <v>22</v>
      </c>
      <c r="C14" s="9">
        <f>721072</f>
        <v>721072</v>
      </c>
      <c r="D14" s="9">
        <v>184700</v>
      </c>
      <c r="E14" s="9">
        <v>25.61</v>
      </c>
      <c r="F14" s="9">
        <f>105578</f>
        <v>105578</v>
      </c>
      <c r="G14" s="9">
        <f>194139</f>
        <v>194139</v>
      </c>
      <c r="H14" s="9">
        <f>0</f>
        <v>0</v>
      </c>
      <c r="I14" s="9">
        <f>0</f>
        <v>0</v>
      </c>
      <c r="J14" s="9">
        <f>0</f>
        <v>0</v>
      </c>
      <c r="K14" s="9">
        <f>0</f>
        <v>0</v>
      </c>
      <c r="L14" s="9">
        <f>0</f>
        <v>0</v>
      </c>
    </row>
    <row r="15" spans="1:12" s="1" customFormat="1">
      <c r="A15" s="4">
        <v>2</v>
      </c>
      <c r="B15" s="5" t="s">
        <v>23</v>
      </c>
      <c r="C15" s="6">
        <f>32919251.76</f>
        <v>32919251.760000002</v>
      </c>
      <c r="D15" s="6">
        <v>14668077.15</v>
      </c>
      <c r="E15" s="6">
        <v>44.56</v>
      </c>
      <c r="F15" s="6">
        <f>29206715</f>
        <v>29206715</v>
      </c>
      <c r="G15" s="6">
        <f>29406706</f>
        <v>29406706</v>
      </c>
      <c r="H15" s="6">
        <f>29622250</f>
        <v>29622250</v>
      </c>
      <c r="I15" s="6">
        <f>30787500</f>
        <v>30787500</v>
      </c>
      <c r="J15" s="6">
        <f>30987500</f>
        <v>30987500</v>
      </c>
      <c r="K15" s="6">
        <f>31187500</f>
        <v>31187500</v>
      </c>
      <c r="L15" s="6">
        <f>31387500</f>
        <v>31387500</v>
      </c>
    </row>
    <row r="16" spans="1:12" s="1" customFormat="1" ht="14.25">
      <c r="A16" s="7" t="s">
        <v>24</v>
      </c>
      <c r="B16" s="8" t="s">
        <v>25</v>
      </c>
      <c r="C16" s="9">
        <f>30363664.76</f>
        <v>30363664.760000002</v>
      </c>
      <c r="D16" s="9">
        <v>14141029.300000001</v>
      </c>
      <c r="E16" s="9">
        <v>46.57</v>
      </c>
      <c r="F16" s="9">
        <f>28456715</f>
        <v>28456715</v>
      </c>
      <c r="G16" s="9">
        <f>28606706</f>
        <v>28606706</v>
      </c>
      <c r="H16" s="9">
        <f>28772250</f>
        <v>28772250</v>
      </c>
      <c r="I16" s="9">
        <f>29887500</f>
        <v>29887500</v>
      </c>
      <c r="J16" s="9">
        <f>30037500</f>
        <v>30037500</v>
      </c>
      <c r="K16" s="9">
        <f>30187500</f>
        <v>30187500</v>
      </c>
      <c r="L16" s="9">
        <f>30337500</f>
        <v>30337500</v>
      </c>
    </row>
    <row r="17" spans="1:12" s="1" customFormat="1" ht="28.5">
      <c r="A17" s="7" t="s">
        <v>26</v>
      </c>
      <c r="B17" s="10" t="s">
        <v>27</v>
      </c>
      <c r="C17" s="9">
        <f>12585625</f>
        <v>12585625</v>
      </c>
      <c r="D17" s="9">
        <v>6469466.6799999997</v>
      </c>
      <c r="E17" s="9">
        <v>51.4</v>
      </c>
      <c r="F17" s="9">
        <f>12750000</f>
        <v>12750000</v>
      </c>
      <c r="G17" s="9">
        <f>12800000</f>
        <v>12800000</v>
      </c>
      <c r="H17" s="9">
        <f>12850000</f>
        <v>12850000</v>
      </c>
      <c r="I17" s="9">
        <f>12900000</f>
        <v>12900000</v>
      </c>
      <c r="J17" s="9">
        <f>12950000</f>
        <v>12950000</v>
      </c>
      <c r="K17" s="9">
        <f>13000000</f>
        <v>13000000</v>
      </c>
      <c r="L17" s="9">
        <f>13050000</f>
        <v>13050000</v>
      </c>
    </row>
    <row r="18" spans="1:12" s="1" customFormat="1" ht="14.25">
      <c r="A18" s="7" t="s">
        <v>28</v>
      </c>
      <c r="B18" s="10" t="s">
        <v>29</v>
      </c>
      <c r="C18" s="9">
        <f>100000</f>
        <v>100000</v>
      </c>
      <c r="D18" s="9">
        <v>0</v>
      </c>
      <c r="E18" s="9">
        <v>0</v>
      </c>
      <c r="F18" s="9">
        <f>100000</f>
        <v>100000</v>
      </c>
      <c r="G18" s="9">
        <f>58000</f>
        <v>58000</v>
      </c>
      <c r="H18" s="9">
        <f>0</f>
        <v>0</v>
      </c>
      <c r="I18" s="9">
        <f>0</f>
        <v>0</v>
      </c>
      <c r="J18" s="9">
        <f>0</f>
        <v>0</v>
      </c>
      <c r="K18" s="9">
        <f>0</f>
        <v>0</v>
      </c>
      <c r="L18" s="9">
        <f>0</f>
        <v>0</v>
      </c>
    </row>
    <row r="19" spans="1:12" s="1" customFormat="1" ht="42.75">
      <c r="A19" s="7" t="s">
        <v>30</v>
      </c>
      <c r="B19" s="11" t="s">
        <v>31</v>
      </c>
      <c r="C19" s="9">
        <f>0</f>
        <v>0</v>
      </c>
      <c r="D19" s="9">
        <v>0</v>
      </c>
      <c r="E19" s="9">
        <v>0</v>
      </c>
      <c r="F19" s="9">
        <f>0</f>
        <v>0</v>
      </c>
      <c r="G19" s="9">
        <f>0</f>
        <v>0</v>
      </c>
      <c r="H19" s="9">
        <f>0</f>
        <v>0</v>
      </c>
      <c r="I19" s="9">
        <f>0</f>
        <v>0</v>
      </c>
      <c r="J19" s="9">
        <f>0</f>
        <v>0</v>
      </c>
      <c r="K19" s="9">
        <f>0</f>
        <v>0</v>
      </c>
      <c r="L19" s="9">
        <f>0</f>
        <v>0</v>
      </c>
    </row>
    <row r="20" spans="1:12" s="1" customFormat="1" ht="14.25">
      <c r="A20" s="7" t="s">
        <v>32</v>
      </c>
      <c r="B20" s="10" t="s">
        <v>33</v>
      </c>
      <c r="C20" s="9">
        <f>37600</f>
        <v>37600</v>
      </c>
      <c r="D20" s="9">
        <v>17967.43</v>
      </c>
      <c r="E20" s="9">
        <v>47.79</v>
      </c>
      <c r="F20" s="9">
        <f>37000</f>
        <v>37000</v>
      </c>
      <c r="G20" s="9">
        <f>26500</f>
        <v>26500</v>
      </c>
      <c r="H20" s="9">
        <f>15000</f>
        <v>15000</v>
      </c>
      <c r="I20" s="9">
        <f>8500</f>
        <v>8500</v>
      </c>
      <c r="J20" s="9">
        <f>6400</f>
        <v>6400</v>
      </c>
      <c r="K20" s="9">
        <f>4300</f>
        <v>4300</v>
      </c>
      <c r="L20" s="9">
        <f>2200</f>
        <v>2200</v>
      </c>
    </row>
    <row r="21" spans="1:12" s="1" customFormat="1" ht="114">
      <c r="A21" s="7" t="s">
        <v>34</v>
      </c>
      <c r="B21" s="11" t="s">
        <v>35</v>
      </c>
      <c r="C21" s="9">
        <f>0</f>
        <v>0</v>
      </c>
      <c r="D21" s="9">
        <v>0</v>
      </c>
      <c r="E21" s="9">
        <v>0</v>
      </c>
      <c r="F21" s="9">
        <f>0</f>
        <v>0</v>
      </c>
      <c r="G21" s="9">
        <f>0</f>
        <v>0</v>
      </c>
      <c r="H21" s="9">
        <f>0</f>
        <v>0</v>
      </c>
      <c r="I21" s="9">
        <f>0</f>
        <v>0</v>
      </c>
      <c r="J21" s="9">
        <f>0</f>
        <v>0</v>
      </c>
      <c r="K21" s="9">
        <f>0</f>
        <v>0</v>
      </c>
      <c r="L21" s="9">
        <f>0</f>
        <v>0</v>
      </c>
    </row>
    <row r="22" spans="1:12" s="1" customFormat="1" ht="71.25">
      <c r="A22" s="7" t="s">
        <v>36</v>
      </c>
      <c r="B22" s="11" t="s">
        <v>37</v>
      </c>
      <c r="C22" s="9">
        <f>0</f>
        <v>0</v>
      </c>
      <c r="D22" s="9">
        <v>0</v>
      </c>
      <c r="E22" s="9">
        <v>0</v>
      </c>
      <c r="F22" s="9">
        <f>0</f>
        <v>0</v>
      </c>
      <c r="G22" s="9">
        <f>0</f>
        <v>0</v>
      </c>
      <c r="H22" s="9">
        <f>0</f>
        <v>0</v>
      </c>
      <c r="I22" s="9">
        <f>0</f>
        <v>0</v>
      </c>
      <c r="J22" s="9">
        <f>0</f>
        <v>0</v>
      </c>
      <c r="K22" s="9">
        <f>0</f>
        <v>0</v>
      </c>
      <c r="L22" s="9">
        <f>0</f>
        <v>0</v>
      </c>
    </row>
    <row r="23" spans="1:12" s="1" customFormat="1" ht="57">
      <c r="A23" s="7" t="s">
        <v>38</v>
      </c>
      <c r="B23" s="11" t="s">
        <v>39</v>
      </c>
      <c r="C23" s="9">
        <f>0</f>
        <v>0</v>
      </c>
      <c r="D23" s="9">
        <v>0</v>
      </c>
      <c r="E23" s="9">
        <v>0</v>
      </c>
      <c r="F23" s="9">
        <f>0</f>
        <v>0</v>
      </c>
      <c r="G23" s="9">
        <f>0</f>
        <v>0</v>
      </c>
      <c r="H23" s="9">
        <f>0</f>
        <v>0</v>
      </c>
      <c r="I23" s="9">
        <f>0</f>
        <v>0</v>
      </c>
      <c r="J23" s="9">
        <f>0</f>
        <v>0</v>
      </c>
      <c r="K23" s="9">
        <f>0</f>
        <v>0</v>
      </c>
      <c r="L23" s="9">
        <f>0</f>
        <v>0</v>
      </c>
    </row>
    <row r="24" spans="1:12" s="1" customFormat="1" ht="14.25">
      <c r="A24" s="7" t="s">
        <v>40</v>
      </c>
      <c r="B24" s="8" t="s">
        <v>41</v>
      </c>
      <c r="C24" s="9">
        <f>2555587</f>
        <v>2555587</v>
      </c>
      <c r="D24" s="9">
        <v>527047.85</v>
      </c>
      <c r="E24" s="9">
        <v>20.62</v>
      </c>
      <c r="F24" s="9">
        <f>750000</f>
        <v>750000</v>
      </c>
      <c r="G24" s="9">
        <f>800000</f>
        <v>800000</v>
      </c>
      <c r="H24" s="9">
        <f>850000</f>
        <v>850000</v>
      </c>
      <c r="I24" s="9">
        <f>900000</f>
        <v>900000</v>
      </c>
      <c r="J24" s="9">
        <f>950000</f>
        <v>950000</v>
      </c>
      <c r="K24" s="9">
        <f>1000000</f>
        <v>1000000</v>
      </c>
      <c r="L24" s="9">
        <f>1050000</f>
        <v>1050000</v>
      </c>
    </row>
    <row r="25" spans="1:12" s="1" customFormat="1" ht="42.75">
      <c r="A25" s="7" t="s">
        <v>42</v>
      </c>
      <c r="B25" s="10" t="s">
        <v>43</v>
      </c>
      <c r="C25" s="9">
        <f>2555587</f>
        <v>2555587</v>
      </c>
      <c r="D25" s="9">
        <v>527047.85</v>
      </c>
      <c r="E25" s="9">
        <v>20.62</v>
      </c>
      <c r="F25" s="9">
        <f>750000</f>
        <v>750000</v>
      </c>
      <c r="G25" s="9">
        <f>800000</f>
        <v>800000</v>
      </c>
      <c r="H25" s="9">
        <f>850000</f>
        <v>850000</v>
      </c>
      <c r="I25" s="9">
        <f>900000</f>
        <v>900000</v>
      </c>
      <c r="J25" s="9">
        <f>950000</f>
        <v>950000</v>
      </c>
      <c r="K25" s="9">
        <f>1000000</f>
        <v>1000000</v>
      </c>
      <c r="L25" s="9">
        <f>1050000</f>
        <v>1050000</v>
      </c>
    </row>
    <row r="26" spans="1:12" s="1" customFormat="1" ht="28.5">
      <c r="A26" s="7" t="s">
        <v>44</v>
      </c>
      <c r="B26" s="11" t="s">
        <v>45</v>
      </c>
      <c r="C26" s="9">
        <f>8029</f>
        <v>8029</v>
      </c>
      <c r="D26" s="9">
        <v>8028.9</v>
      </c>
      <c r="E26" s="9">
        <v>100</v>
      </c>
      <c r="F26" s="9">
        <f>27410</f>
        <v>27410</v>
      </c>
      <c r="G26" s="9">
        <f>0</f>
        <v>0</v>
      </c>
      <c r="H26" s="9">
        <f>0</f>
        <v>0</v>
      </c>
      <c r="I26" s="9">
        <f>0</f>
        <v>0</v>
      </c>
      <c r="J26" s="9">
        <f>0</f>
        <v>0</v>
      </c>
      <c r="K26" s="9">
        <f>0</f>
        <v>0</v>
      </c>
      <c r="L26" s="9">
        <f>0</f>
        <v>0</v>
      </c>
    </row>
    <row r="27" spans="1:12" s="1" customFormat="1">
      <c r="A27" s="4">
        <v>3</v>
      </c>
      <c r="B27" s="5" t="s">
        <v>46</v>
      </c>
      <c r="C27" s="12">
        <f>-1523393</f>
        <v>-1523393</v>
      </c>
      <c r="D27" s="6">
        <v>1574032.32</v>
      </c>
      <c r="E27" s="13" t="s">
        <v>92</v>
      </c>
      <c r="F27" s="6">
        <f>1143285</f>
        <v>1143285</v>
      </c>
      <c r="G27" s="6">
        <f>1143294</f>
        <v>1143294</v>
      </c>
      <c r="H27" s="6">
        <f>1077750</f>
        <v>1077750</v>
      </c>
      <c r="I27" s="6">
        <f t="shared" ref="I27:L28" si="2">212500</f>
        <v>212500</v>
      </c>
      <c r="J27" s="6">
        <f t="shared" si="2"/>
        <v>212500</v>
      </c>
      <c r="K27" s="6">
        <f t="shared" si="2"/>
        <v>212500</v>
      </c>
      <c r="L27" s="6">
        <f t="shared" si="2"/>
        <v>212500</v>
      </c>
    </row>
    <row r="28" spans="1:12" s="1" customFormat="1" ht="42.75">
      <c r="A28" s="7" t="s">
        <v>47</v>
      </c>
      <c r="B28" s="8" t="s">
        <v>48</v>
      </c>
      <c r="C28" s="9">
        <f>0</f>
        <v>0</v>
      </c>
      <c r="D28" s="9">
        <v>0</v>
      </c>
      <c r="E28" s="14" t="s">
        <v>92</v>
      </c>
      <c r="F28" s="9">
        <f>1143285</f>
        <v>1143285</v>
      </c>
      <c r="G28" s="9">
        <f>1143294</f>
        <v>1143294</v>
      </c>
      <c r="H28" s="9">
        <f>1077750</f>
        <v>1077750</v>
      </c>
      <c r="I28" s="9">
        <f t="shared" si="2"/>
        <v>212500</v>
      </c>
      <c r="J28" s="9">
        <f t="shared" si="2"/>
        <v>212500</v>
      </c>
      <c r="K28" s="9">
        <f t="shared" si="2"/>
        <v>212500</v>
      </c>
      <c r="L28" s="9">
        <f t="shared" si="2"/>
        <v>212500</v>
      </c>
    </row>
    <row r="29" spans="1:12" s="1" customFormat="1">
      <c r="A29" s="4">
        <v>4</v>
      </c>
      <c r="B29" s="5" t="s">
        <v>49</v>
      </c>
      <c r="C29" s="6">
        <f>2757809</f>
        <v>2757809</v>
      </c>
      <c r="D29" s="6">
        <v>1982694.13</v>
      </c>
      <c r="E29" s="6">
        <v>71.89</v>
      </c>
      <c r="F29" s="6">
        <f>0</f>
        <v>0</v>
      </c>
      <c r="G29" s="6">
        <f>0</f>
        <v>0</v>
      </c>
      <c r="H29" s="6">
        <f>0</f>
        <v>0</v>
      </c>
      <c r="I29" s="6">
        <f>0</f>
        <v>0</v>
      </c>
      <c r="J29" s="6">
        <f>0</f>
        <v>0</v>
      </c>
      <c r="K29" s="6">
        <f>0</f>
        <v>0</v>
      </c>
      <c r="L29" s="6">
        <f>0</f>
        <v>0</v>
      </c>
    </row>
    <row r="30" spans="1:12" s="1" customFormat="1" ht="28.5">
      <c r="A30" s="7" t="s">
        <v>50</v>
      </c>
      <c r="B30" s="8" t="s">
        <v>51</v>
      </c>
      <c r="C30" s="9">
        <f>1000000</f>
        <v>1000000</v>
      </c>
      <c r="D30" s="9">
        <v>0</v>
      </c>
      <c r="E30" s="9">
        <v>0</v>
      </c>
      <c r="F30" s="9">
        <f>0</f>
        <v>0</v>
      </c>
      <c r="G30" s="9">
        <f>0</f>
        <v>0</v>
      </c>
      <c r="H30" s="9">
        <f>0</f>
        <v>0</v>
      </c>
      <c r="I30" s="9">
        <f>0</f>
        <v>0</v>
      </c>
      <c r="J30" s="9">
        <f>0</f>
        <v>0</v>
      </c>
      <c r="K30" s="9">
        <f>0</f>
        <v>0</v>
      </c>
      <c r="L30" s="9">
        <f>0</f>
        <v>0</v>
      </c>
    </row>
    <row r="31" spans="1:12" s="1" customFormat="1" ht="14.25">
      <c r="A31" s="7" t="s">
        <v>52</v>
      </c>
      <c r="B31" s="10" t="s">
        <v>53</v>
      </c>
      <c r="C31" s="9">
        <f>0</f>
        <v>0</v>
      </c>
      <c r="D31" s="9">
        <v>0</v>
      </c>
      <c r="E31" s="9">
        <v>0</v>
      </c>
      <c r="F31" s="9">
        <f>0</f>
        <v>0</v>
      </c>
      <c r="G31" s="9">
        <f>0</f>
        <v>0</v>
      </c>
      <c r="H31" s="9">
        <f>0</f>
        <v>0</v>
      </c>
      <c r="I31" s="9">
        <f>0</f>
        <v>0</v>
      </c>
      <c r="J31" s="9">
        <f>0</f>
        <v>0</v>
      </c>
      <c r="K31" s="9">
        <f>0</f>
        <v>0</v>
      </c>
      <c r="L31" s="9">
        <f>0</f>
        <v>0</v>
      </c>
    </row>
    <row r="32" spans="1:12" s="1" customFormat="1" ht="28.5">
      <c r="A32" s="7" t="s">
        <v>54</v>
      </c>
      <c r="B32" s="8" t="s">
        <v>55</v>
      </c>
      <c r="C32" s="9">
        <f>527809</f>
        <v>527809</v>
      </c>
      <c r="D32" s="9">
        <v>527809.64</v>
      </c>
      <c r="E32" s="9">
        <v>100</v>
      </c>
      <c r="F32" s="9">
        <f>0</f>
        <v>0</v>
      </c>
      <c r="G32" s="9">
        <f>0</f>
        <v>0</v>
      </c>
      <c r="H32" s="9">
        <f>0</f>
        <v>0</v>
      </c>
      <c r="I32" s="9">
        <f>0</f>
        <v>0</v>
      </c>
      <c r="J32" s="9">
        <f>0</f>
        <v>0</v>
      </c>
      <c r="K32" s="9">
        <f>0</f>
        <v>0</v>
      </c>
      <c r="L32" s="9">
        <f>0</f>
        <v>0</v>
      </c>
    </row>
    <row r="33" spans="1:12" s="1" customFormat="1" ht="14.25">
      <c r="A33" s="7" t="s">
        <v>56</v>
      </c>
      <c r="B33" s="10" t="s">
        <v>53</v>
      </c>
      <c r="C33" s="9">
        <f>527809</f>
        <v>527809</v>
      </c>
      <c r="D33" s="9">
        <v>527809.64</v>
      </c>
      <c r="E33" s="9">
        <v>100</v>
      </c>
      <c r="F33" s="9">
        <f>0</f>
        <v>0</v>
      </c>
      <c r="G33" s="9">
        <f>0</f>
        <v>0</v>
      </c>
      <c r="H33" s="9">
        <f>0</f>
        <v>0</v>
      </c>
      <c r="I33" s="9">
        <f>0</f>
        <v>0</v>
      </c>
      <c r="J33" s="9">
        <f>0</f>
        <v>0</v>
      </c>
      <c r="K33" s="9">
        <f>0</f>
        <v>0</v>
      </c>
      <c r="L33" s="9">
        <f>0</f>
        <v>0</v>
      </c>
    </row>
    <row r="34" spans="1:12" s="1" customFormat="1" ht="28.5">
      <c r="A34" s="7" t="s">
        <v>57</v>
      </c>
      <c r="B34" s="8" t="s">
        <v>58</v>
      </c>
      <c r="C34" s="9">
        <f>1230000</f>
        <v>1230000</v>
      </c>
      <c r="D34" s="9">
        <v>1454884.49</v>
      </c>
      <c r="E34" s="9">
        <v>118.28</v>
      </c>
      <c r="F34" s="9">
        <f>0</f>
        <v>0</v>
      </c>
      <c r="G34" s="9">
        <f>0</f>
        <v>0</v>
      </c>
      <c r="H34" s="9">
        <f>0</f>
        <v>0</v>
      </c>
      <c r="I34" s="9">
        <f>0</f>
        <v>0</v>
      </c>
      <c r="J34" s="9">
        <f>0</f>
        <v>0</v>
      </c>
      <c r="K34" s="9">
        <f>0</f>
        <v>0</v>
      </c>
      <c r="L34" s="9">
        <f>0</f>
        <v>0</v>
      </c>
    </row>
    <row r="35" spans="1:12" s="1" customFormat="1" ht="14.25">
      <c r="A35" s="7" t="s">
        <v>59</v>
      </c>
      <c r="B35" s="10" t="s">
        <v>53</v>
      </c>
      <c r="C35" s="9">
        <f>995584</f>
        <v>995584</v>
      </c>
      <c r="D35" s="9">
        <v>995584</v>
      </c>
      <c r="E35" s="9">
        <v>100</v>
      </c>
      <c r="F35" s="9">
        <f>0</f>
        <v>0</v>
      </c>
      <c r="G35" s="9">
        <f>0</f>
        <v>0</v>
      </c>
      <c r="H35" s="9">
        <f>0</f>
        <v>0</v>
      </c>
      <c r="I35" s="9">
        <f>0</f>
        <v>0</v>
      </c>
      <c r="J35" s="9">
        <f>0</f>
        <v>0</v>
      </c>
      <c r="K35" s="9">
        <f>0</f>
        <v>0</v>
      </c>
      <c r="L35" s="9">
        <f>0</f>
        <v>0</v>
      </c>
    </row>
    <row r="36" spans="1:12" s="1" customFormat="1" ht="28.5">
      <c r="A36" s="7" t="s">
        <v>60</v>
      </c>
      <c r="B36" s="8" t="s">
        <v>61</v>
      </c>
      <c r="C36" s="9">
        <f>0</f>
        <v>0</v>
      </c>
      <c r="D36" s="9">
        <v>0</v>
      </c>
      <c r="E36" s="9">
        <v>0</v>
      </c>
      <c r="F36" s="9">
        <f>0</f>
        <v>0</v>
      </c>
      <c r="G36" s="9">
        <f>0</f>
        <v>0</v>
      </c>
      <c r="H36" s="9">
        <f>0</f>
        <v>0</v>
      </c>
      <c r="I36" s="9">
        <f>0</f>
        <v>0</v>
      </c>
      <c r="J36" s="9">
        <f>0</f>
        <v>0</v>
      </c>
      <c r="K36" s="9">
        <f>0</f>
        <v>0</v>
      </c>
      <c r="L36" s="9">
        <f>0</f>
        <v>0</v>
      </c>
    </row>
    <row r="37" spans="1:12" s="1" customFormat="1" ht="14.25">
      <c r="A37" s="7" t="s">
        <v>62</v>
      </c>
      <c r="B37" s="10" t="s">
        <v>53</v>
      </c>
      <c r="C37" s="9">
        <f>0</f>
        <v>0</v>
      </c>
      <c r="D37" s="9">
        <v>0</v>
      </c>
      <c r="E37" s="9">
        <v>0</v>
      </c>
      <c r="F37" s="9">
        <f>0</f>
        <v>0</v>
      </c>
      <c r="G37" s="9">
        <f>0</f>
        <v>0</v>
      </c>
      <c r="H37" s="9">
        <f>0</f>
        <v>0</v>
      </c>
      <c r="I37" s="9">
        <f>0</f>
        <v>0</v>
      </c>
      <c r="J37" s="9">
        <f>0</f>
        <v>0</v>
      </c>
      <c r="K37" s="9">
        <f>0</f>
        <v>0</v>
      </c>
      <c r="L37" s="9">
        <f>0</f>
        <v>0</v>
      </c>
    </row>
    <row r="38" spans="1:12" s="1" customFormat="1" ht="28.5">
      <c r="A38" s="7" t="s">
        <v>63</v>
      </c>
      <c r="B38" s="8" t="s">
        <v>64</v>
      </c>
      <c r="C38" s="9">
        <f>0</f>
        <v>0</v>
      </c>
      <c r="D38" s="9">
        <v>0</v>
      </c>
      <c r="E38" s="9">
        <v>0</v>
      </c>
      <c r="F38" s="9">
        <f>0</f>
        <v>0</v>
      </c>
      <c r="G38" s="9">
        <f>0</f>
        <v>0</v>
      </c>
      <c r="H38" s="9">
        <f>0</f>
        <v>0</v>
      </c>
      <c r="I38" s="9">
        <f>0</f>
        <v>0</v>
      </c>
      <c r="J38" s="9">
        <f>0</f>
        <v>0</v>
      </c>
      <c r="K38" s="9">
        <f>0</f>
        <v>0</v>
      </c>
      <c r="L38" s="9">
        <f>0</f>
        <v>0</v>
      </c>
    </row>
    <row r="39" spans="1:12" s="1" customFormat="1" ht="14.25">
      <c r="A39" s="7" t="s">
        <v>65</v>
      </c>
      <c r="B39" s="10" t="s">
        <v>53</v>
      </c>
      <c r="C39" s="9">
        <f>0</f>
        <v>0</v>
      </c>
      <c r="D39" s="9">
        <v>0</v>
      </c>
      <c r="E39" s="9">
        <v>0</v>
      </c>
      <c r="F39" s="9">
        <f>0</f>
        <v>0</v>
      </c>
      <c r="G39" s="9">
        <f>0</f>
        <v>0</v>
      </c>
      <c r="H39" s="9">
        <f>0</f>
        <v>0</v>
      </c>
      <c r="I39" s="9">
        <f>0</f>
        <v>0</v>
      </c>
      <c r="J39" s="9">
        <f>0</f>
        <v>0</v>
      </c>
      <c r="K39" s="9">
        <f>0</f>
        <v>0</v>
      </c>
      <c r="L39" s="9">
        <f>0</f>
        <v>0</v>
      </c>
    </row>
    <row r="40" spans="1:12" s="1" customFormat="1">
      <c r="A40" s="4">
        <v>5</v>
      </c>
      <c r="B40" s="5" t="s">
        <v>66</v>
      </c>
      <c r="C40" s="6">
        <f>1234416</f>
        <v>1234416</v>
      </c>
      <c r="D40" s="6">
        <v>860906</v>
      </c>
      <c r="E40" s="6">
        <v>69.739999999999995</v>
      </c>
      <c r="F40" s="6">
        <f>1143285</f>
        <v>1143285</v>
      </c>
      <c r="G40" s="6">
        <f>1143294</f>
        <v>1143294</v>
      </c>
      <c r="H40" s="6">
        <f>1077750</f>
        <v>1077750</v>
      </c>
      <c r="I40" s="6">
        <f t="shared" ref="I40:L41" si="3">212500</f>
        <v>212500</v>
      </c>
      <c r="J40" s="6">
        <f t="shared" si="3"/>
        <v>212500</v>
      </c>
      <c r="K40" s="6">
        <f t="shared" si="3"/>
        <v>212500</v>
      </c>
      <c r="L40" s="6">
        <f t="shared" si="3"/>
        <v>212500</v>
      </c>
    </row>
    <row r="41" spans="1:12" s="1" customFormat="1" ht="42.75">
      <c r="A41" s="7" t="s">
        <v>67</v>
      </c>
      <c r="B41" s="8" t="s">
        <v>68</v>
      </c>
      <c r="C41" s="9">
        <f>1234416</f>
        <v>1234416</v>
      </c>
      <c r="D41" s="9">
        <v>860906</v>
      </c>
      <c r="E41" s="9">
        <v>69.739999999999995</v>
      </c>
      <c r="F41" s="9">
        <f>1143285</f>
        <v>1143285</v>
      </c>
      <c r="G41" s="9">
        <f>1143294</f>
        <v>1143294</v>
      </c>
      <c r="H41" s="9">
        <f>1077750</f>
        <v>1077750</v>
      </c>
      <c r="I41" s="9">
        <f t="shared" si="3"/>
        <v>212500</v>
      </c>
      <c r="J41" s="9">
        <f t="shared" si="3"/>
        <v>212500</v>
      </c>
      <c r="K41" s="9">
        <f t="shared" si="3"/>
        <v>212500</v>
      </c>
      <c r="L41" s="9">
        <f t="shared" si="3"/>
        <v>212500</v>
      </c>
    </row>
    <row r="42" spans="1:12" s="1" customFormat="1" ht="42.75">
      <c r="A42" s="7" t="s">
        <v>69</v>
      </c>
      <c r="B42" s="10" t="s">
        <v>70</v>
      </c>
      <c r="C42" s="9">
        <f>0</f>
        <v>0</v>
      </c>
      <c r="D42" s="9">
        <v>0</v>
      </c>
      <c r="E42" s="9">
        <v>0</v>
      </c>
      <c r="F42" s="9">
        <f>0</f>
        <v>0</v>
      </c>
      <c r="G42" s="9">
        <f>0</f>
        <v>0</v>
      </c>
      <c r="H42" s="9">
        <f>0</f>
        <v>0</v>
      </c>
      <c r="I42" s="9">
        <f>0</f>
        <v>0</v>
      </c>
      <c r="J42" s="9">
        <f>0</f>
        <v>0</v>
      </c>
      <c r="K42" s="9">
        <f>0</f>
        <v>0</v>
      </c>
      <c r="L42" s="9">
        <f>0</f>
        <v>0</v>
      </c>
    </row>
    <row r="43" spans="1:12" s="1" customFormat="1" ht="42.75">
      <c r="A43" s="7" t="s">
        <v>71</v>
      </c>
      <c r="B43" s="11" t="s">
        <v>72</v>
      </c>
      <c r="C43" s="9">
        <f>0</f>
        <v>0</v>
      </c>
      <c r="D43" s="9">
        <v>0</v>
      </c>
      <c r="E43" s="9">
        <v>0</v>
      </c>
      <c r="F43" s="9">
        <f>0</f>
        <v>0</v>
      </c>
      <c r="G43" s="9">
        <f>0</f>
        <v>0</v>
      </c>
      <c r="H43" s="9">
        <f>0</f>
        <v>0</v>
      </c>
      <c r="I43" s="9">
        <f>0</f>
        <v>0</v>
      </c>
      <c r="J43" s="9">
        <f>0</f>
        <v>0</v>
      </c>
      <c r="K43" s="9">
        <f>0</f>
        <v>0</v>
      </c>
      <c r="L43" s="9">
        <f>0</f>
        <v>0</v>
      </c>
    </row>
    <row r="44" spans="1:12" s="1" customFormat="1" ht="42.75">
      <c r="A44" s="7" t="s">
        <v>73</v>
      </c>
      <c r="B44" s="11" t="s">
        <v>74</v>
      </c>
      <c r="C44" s="9">
        <f>0</f>
        <v>0</v>
      </c>
      <c r="D44" s="9">
        <v>0</v>
      </c>
      <c r="E44" s="9">
        <v>0</v>
      </c>
      <c r="F44" s="9">
        <f>0</f>
        <v>0</v>
      </c>
      <c r="G44" s="9">
        <f>0</f>
        <v>0</v>
      </c>
      <c r="H44" s="9">
        <f>0</f>
        <v>0</v>
      </c>
      <c r="I44" s="9">
        <f>0</f>
        <v>0</v>
      </c>
      <c r="J44" s="9">
        <f>0</f>
        <v>0</v>
      </c>
      <c r="K44" s="9">
        <f>0</f>
        <v>0</v>
      </c>
      <c r="L44" s="9">
        <f>0</f>
        <v>0</v>
      </c>
    </row>
    <row r="45" spans="1:12" s="1" customFormat="1" ht="42.75">
      <c r="A45" s="7" t="s">
        <v>75</v>
      </c>
      <c r="B45" s="11" t="s">
        <v>76</v>
      </c>
      <c r="C45" s="9">
        <f>0</f>
        <v>0</v>
      </c>
      <c r="D45" s="9">
        <v>0</v>
      </c>
      <c r="E45" s="9">
        <v>0</v>
      </c>
      <c r="F45" s="9">
        <f>0</f>
        <v>0</v>
      </c>
      <c r="G45" s="9">
        <f>0</f>
        <v>0</v>
      </c>
      <c r="H45" s="9">
        <f>0</f>
        <v>0</v>
      </c>
      <c r="I45" s="9">
        <f>0</f>
        <v>0</v>
      </c>
      <c r="J45" s="9">
        <f>0</f>
        <v>0</v>
      </c>
      <c r="K45" s="9">
        <f>0</f>
        <v>0</v>
      </c>
      <c r="L45" s="9">
        <f>0</f>
        <v>0</v>
      </c>
    </row>
    <row r="46" spans="1:12" s="1" customFormat="1" ht="14.25">
      <c r="A46" s="7" t="s">
        <v>77</v>
      </c>
      <c r="B46" s="15" t="s">
        <v>78</v>
      </c>
      <c r="C46" s="9">
        <f>0</f>
        <v>0</v>
      </c>
      <c r="D46" s="9">
        <v>0</v>
      </c>
      <c r="E46" s="9">
        <v>0</v>
      </c>
      <c r="F46" s="9">
        <f>0</f>
        <v>0</v>
      </c>
      <c r="G46" s="9">
        <f>0</f>
        <v>0</v>
      </c>
      <c r="H46" s="9">
        <f>0</f>
        <v>0</v>
      </c>
      <c r="I46" s="9">
        <f>0</f>
        <v>0</v>
      </c>
      <c r="J46" s="9">
        <f>0</f>
        <v>0</v>
      </c>
      <c r="K46" s="9">
        <f>0</f>
        <v>0</v>
      </c>
      <c r="L46" s="9">
        <f>0</f>
        <v>0</v>
      </c>
    </row>
    <row r="47" spans="1:12" s="1" customFormat="1" ht="28.5">
      <c r="A47" s="7" t="s">
        <v>79</v>
      </c>
      <c r="B47" s="15" t="s">
        <v>80</v>
      </c>
      <c r="C47" s="9">
        <f>0</f>
        <v>0</v>
      </c>
      <c r="D47" s="9">
        <v>0</v>
      </c>
      <c r="E47" s="9">
        <v>0</v>
      </c>
      <c r="F47" s="9">
        <f>0</f>
        <v>0</v>
      </c>
      <c r="G47" s="9">
        <f>0</f>
        <v>0</v>
      </c>
      <c r="H47" s="9">
        <f>0</f>
        <v>0</v>
      </c>
      <c r="I47" s="9">
        <f>0</f>
        <v>0</v>
      </c>
      <c r="J47" s="9">
        <f>0</f>
        <v>0</v>
      </c>
      <c r="K47" s="9">
        <f>0</f>
        <v>0</v>
      </c>
      <c r="L47" s="9">
        <f>0</f>
        <v>0</v>
      </c>
    </row>
    <row r="48" spans="1:12" s="1" customFormat="1" ht="14.25">
      <c r="A48" s="7" t="s">
        <v>81</v>
      </c>
      <c r="B48" s="15" t="s">
        <v>82</v>
      </c>
      <c r="C48" s="9">
        <f>0</f>
        <v>0</v>
      </c>
      <c r="D48" s="9">
        <v>0</v>
      </c>
      <c r="E48" s="9">
        <v>0</v>
      </c>
      <c r="F48" s="9">
        <f>0</f>
        <v>0</v>
      </c>
      <c r="G48" s="9">
        <f>0</f>
        <v>0</v>
      </c>
      <c r="H48" s="9">
        <f>0</f>
        <v>0</v>
      </c>
      <c r="I48" s="9">
        <f>0</f>
        <v>0</v>
      </c>
      <c r="J48" s="9">
        <f>0</f>
        <v>0</v>
      </c>
      <c r="K48" s="9">
        <f>0</f>
        <v>0</v>
      </c>
      <c r="L48" s="9">
        <f>0</f>
        <v>0</v>
      </c>
    </row>
    <row r="49" spans="1:12" s="1" customFormat="1" ht="42.75">
      <c r="A49" s="7" t="s">
        <v>83</v>
      </c>
      <c r="B49" s="11" t="s">
        <v>84</v>
      </c>
      <c r="C49" s="9">
        <f>0</f>
        <v>0</v>
      </c>
      <c r="D49" s="9">
        <v>0</v>
      </c>
      <c r="E49" s="9">
        <v>0</v>
      </c>
      <c r="F49" s="9">
        <f>0</f>
        <v>0</v>
      </c>
      <c r="G49" s="9">
        <f>0</f>
        <v>0</v>
      </c>
      <c r="H49" s="9">
        <f>0</f>
        <v>0</v>
      </c>
      <c r="I49" s="9">
        <f>0</f>
        <v>0</v>
      </c>
      <c r="J49" s="9">
        <f>0</f>
        <v>0</v>
      </c>
      <c r="K49" s="9">
        <f>0</f>
        <v>0</v>
      </c>
      <c r="L49" s="9">
        <f>0</f>
        <v>0</v>
      </c>
    </row>
    <row r="50" spans="1:12" s="1" customFormat="1" ht="14.25">
      <c r="A50" s="7" t="s">
        <v>85</v>
      </c>
      <c r="B50" s="8" t="s">
        <v>86</v>
      </c>
      <c r="C50" s="9">
        <f>0</f>
        <v>0</v>
      </c>
      <c r="D50" s="9">
        <v>0</v>
      </c>
      <c r="E50" s="9">
        <v>0</v>
      </c>
      <c r="F50" s="9">
        <f>0</f>
        <v>0</v>
      </c>
      <c r="G50" s="9">
        <f>0</f>
        <v>0</v>
      </c>
      <c r="H50" s="9">
        <f>0</f>
        <v>0</v>
      </c>
      <c r="I50" s="9">
        <f>0</f>
        <v>0</v>
      </c>
      <c r="J50" s="9">
        <f>0</f>
        <v>0</v>
      </c>
      <c r="K50" s="9">
        <f>0</f>
        <v>0</v>
      </c>
      <c r="L50" s="9">
        <f>0</f>
        <v>0</v>
      </c>
    </row>
    <row r="51" spans="1:12" s="1" customFormat="1">
      <c r="A51" s="16" t="s">
        <v>87</v>
      </c>
      <c r="B51" s="5" t="s">
        <v>88</v>
      </c>
      <c r="C51" s="6">
        <f>4214329</f>
        <v>4214329</v>
      </c>
      <c r="D51" s="6">
        <v>3587839</v>
      </c>
      <c r="E51" s="13" t="s">
        <v>92</v>
      </c>
      <c r="F51" s="6">
        <f>3071044</f>
        <v>3071044</v>
      </c>
      <c r="G51" s="6">
        <f>1927750</f>
        <v>1927750</v>
      </c>
      <c r="H51" s="6">
        <f>850000</f>
        <v>850000</v>
      </c>
      <c r="I51" s="6">
        <f>637500</f>
        <v>637500</v>
      </c>
      <c r="J51" s="6">
        <f>425000</f>
        <v>425000</v>
      </c>
      <c r="K51" s="6">
        <f>212500</f>
        <v>212500</v>
      </c>
      <c r="L51" s="6">
        <f>0</f>
        <v>0</v>
      </c>
    </row>
    <row r="52" spans="1:12" s="1" customFormat="1" ht="28.5">
      <c r="A52" s="7" t="s">
        <v>89</v>
      </c>
      <c r="B52" s="8" t="s">
        <v>90</v>
      </c>
      <c r="C52" s="9">
        <f>0</f>
        <v>0</v>
      </c>
      <c r="D52" s="9">
        <v>0</v>
      </c>
      <c r="E52" s="9">
        <v>0</v>
      </c>
      <c r="F52" s="9">
        <f>0</f>
        <v>0</v>
      </c>
      <c r="G52" s="9">
        <f>0</f>
        <v>0</v>
      </c>
      <c r="H52" s="9">
        <f>0</f>
        <v>0</v>
      </c>
      <c r="I52" s="9">
        <f>0</f>
        <v>0</v>
      </c>
      <c r="J52" s="9">
        <f>0</f>
        <v>0</v>
      </c>
      <c r="K52" s="9">
        <f>0</f>
        <v>0</v>
      </c>
      <c r="L52" s="9">
        <f>0</f>
        <v>0</v>
      </c>
    </row>
    <row r="53" spans="1:12" s="1" customFormat="1" ht="45">
      <c r="A53" s="4">
        <v>7</v>
      </c>
      <c r="B53" s="5" t="s">
        <v>91</v>
      </c>
      <c r="C53" s="13" t="s">
        <v>92</v>
      </c>
      <c r="D53" s="13" t="s">
        <v>92</v>
      </c>
      <c r="E53" s="13" t="s">
        <v>92</v>
      </c>
      <c r="F53" s="13" t="s">
        <v>92</v>
      </c>
      <c r="G53" s="13" t="s">
        <v>92</v>
      </c>
      <c r="H53" s="13" t="s">
        <v>92</v>
      </c>
      <c r="I53" s="13" t="s">
        <v>92</v>
      </c>
      <c r="J53" s="13" t="s">
        <v>92</v>
      </c>
      <c r="K53" s="13" t="s">
        <v>92</v>
      </c>
      <c r="L53" s="13" t="s">
        <v>92</v>
      </c>
    </row>
    <row r="54" spans="1:12" s="1" customFormat="1" ht="28.5">
      <c r="A54" s="17" t="s">
        <v>93</v>
      </c>
      <c r="B54" s="18" t="s">
        <v>94</v>
      </c>
      <c r="C54" s="9">
        <f>309122</f>
        <v>309122</v>
      </c>
      <c r="D54" s="9">
        <v>1915330.4</v>
      </c>
      <c r="E54" s="13" t="s">
        <v>92</v>
      </c>
      <c r="F54" s="9">
        <f>1787707</f>
        <v>1787707</v>
      </c>
      <c r="G54" s="9">
        <f>1749155</f>
        <v>1749155</v>
      </c>
      <c r="H54" s="9">
        <f>1927750</f>
        <v>1927750</v>
      </c>
      <c r="I54" s="9">
        <f>1112500</f>
        <v>1112500</v>
      </c>
      <c r="J54" s="9">
        <f>1162500</f>
        <v>1162500</v>
      </c>
      <c r="K54" s="9">
        <f>1212500</f>
        <v>1212500</v>
      </c>
      <c r="L54" s="9">
        <f>1262500</f>
        <v>1262500</v>
      </c>
    </row>
    <row r="55" spans="1:12" s="1" customFormat="1" ht="42.75">
      <c r="A55" s="7" t="s">
        <v>95</v>
      </c>
      <c r="B55" s="8" t="s">
        <v>96</v>
      </c>
      <c r="C55" s="9">
        <f>2066931</f>
        <v>2066931</v>
      </c>
      <c r="D55" s="13" t="s">
        <v>92</v>
      </c>
      <c r="E55" s="13" t="s">
        <v>92</v>
      </c>
      <c r="F55" s="9">
        <f>1787707</f>
        <v>1787707</v>
      </c>
      <c r="G55" s="9">
        <f>1749155</f>
        <v>1749155</v>
      </c>
      <c r="H55" s="9">
        <f>1927750</f>
        <v>1927750</v>
      </c>
      <c r="I55" s="9">
        <f>1112500</f>
        <v>1112500</v>
      </c>
      <c r="J55" s="9">
        <f>1162500</f>
        <v>1162500</v>
      </c>
      <c r="K55" s="9">
        <f>1212500</f>
        <v>1212500</v>
      </c>
      <c r="L55" s="9">
        <f>1262500</f>
        <v>1262500</v>
      </c>
    </row>
    <row r="56" spans="1:12" s="1" customFormat="1">
      <c r="A56" s="4">
        <v>8</v>
      </c>
      <c r="B56" s="5" t="s">
        <v>97</v>
      </c>
      <c r="C56" s="13" t="s">
        <v>92</v>
      </c>
      <c r="D56" s="13" t="s">
        <v>92</v>
      </c>
      <c r="E56" s="13" t="s">
        <v>92</v>
      </c>
      <c r="F56" s="13" t="s">
        <v>92</v>
      </c>
      <c r="G56" s="13" t="s">
        <v>92</v>
      </c>
      <c r="H56" s="13" t="s">
        <v>92</v>
      </c>
      <c r="I56" s="13" t="s">
        <v>92</v>
      </c>
      <c r="J56" s="13" t="s">
        <v>92</v>
      </c>
      <c r="K56" s="13" t="s">
        <v>92</v>
      </c>
      <c r="L56" s="13" t="s">
        <v>92</v>
      </c>
    </row>
    <row r="57" spans="1:12" s="1" customFormat="1" ht="99.75">
      <c r="A57" s="7" t="s">
        <v>98</v>
      </c>
      <c r="B57" s="8" t="s">
        <v>99</v>
      </c>
      <c r="C57" s="19">
        <f>0.0669</f>
        <v>6.6900000000000001E-2</v>
      </c>
      <c r="D57" s="13" t="s">
        <v>92</v>
      </c>
      <c r="E57" s="13" t="s">
        <v>92</v>
      </c>
      <c r="F57" s="19">
        <f>0.0617</f>
        <v>6.1699999999999998E-2</v>
      </c>
      <c r="G57" s="19">
        <f>0.0587</f>
        <v>5.8700000000000002E-2</v>
      </c>
      <c r="H57" s="19">
        <f>0.0515</f>
        <v>5.1499999999999997E-2</v>
      </c>
      <c r="I57" s="19">
        <f>0.0104</f>
        <v>1.04E-2</v>
      </c>
      <c r="J57" s="19">
        <f>0.0101</f>
        <v>1.01E-2</v>
      </c>
      <c r="K57" s="19">
        <f>0.01</f>
        <v>0.01</v>
      </c>
      <c r="L57" s="19">
        <f>0.0098</f>
        <v>9.7999999999999997E-3</v>
      </c>
    </row>
    <row r="58" spans="1:12" s="1" customFormat="1">
      <c r="A58" s="7" t="s">
        <v>100</v>
      </c>
      <c r="B58" s="10" t="s">
        <v>100</v>
      </c>
      <c r="C58" s="19">
        <f>0.0669</f>
        <v>6.6900000000000001E-2</v>
      </c>
      <c r="D58" s="13" t="s">
        <v>92</v>
      </c>
      <c r="E58" s="13" t="s">
        <v>92</v>
      </c>
      <c r="F58" s="19">
        <f>0.0617</f>
        <v>6.1699999999999998E-2</v>
      </c>
      <c r="G58" s="19">
        <f>0.0587</f>
        <v>5.8700000000000002E-2</v>
      </c>
      <c r="H58" s="19">
        <f>0.0515</f>
        <v>5.1499999999999997E-2</v>
      </c>
      <c r="I58" s="19">
        <f>0.0104</f>
        <v>1.04E-2</v>
      </c>
      <c r="J58" s="19">
        <f>0.0101</f>
        <v>1.01E-2</v>
      </c>
      <c r="K58" s="19">
        <f>0.01</f>
        <v>0.01</v>
      </c>
      <c r="L58" s="19">
        <f>0.0098</f>
        <v>9.7999999999999997E-3</v>
      </c>
    </row>
    <row r="59" spans="1:12" s="1" customFormat="1">
      <c r="A59" s="7" t="s">
        <v>101</v>
      </c>
      <c r="B59" s="10" t="s">
        <v>101</v>
      </c>
      <c r="C59" s="19">
        <f>0.0669</f>
        <v>6.6900000000000001E-2</v>
      </c>
      <c r="D59" s="13" t="s">
        <v>92</v>
      </c>
      <c r="E59" s="13" t="s">
        <v>92</v>
      </c>
      <c r="F59" s="19">
        <f>0.0617</f>
        <v>6.1699999999999998E-2</v>
      </c>
      <c r="G59" s="19">
        <f>0.0587</f>
        <v>5.8700000000000002E-2</v>
      </c>
      <c r="H59" s="19">
        <f>0.0515</f>
        <v>5.1499999999999997E-2</v>
      </c>
      <c r="I59" s="19">
        <f>0.0104</f>
        <v>1.04E-2</v>
      </c>
      <c r="J59" s="19">
        <f>0.0101</f>
        <v>1.01E-2</v>
      </c>
      <c r="K59" s="19">
        <f>0.01</f>
        <v>0.01</v>
      </c>
      <c r="L59" s="19">
        <f>0.0098</f>
        <v>9.7999999999999997E-3</v>
      </c>
    </row>
    <row r="60" spans="1:12" s="1" customFormat="1" ht="57">
      <c r="A60" s="7" t="s">
        <v>102</v>
      </c>
      <c r="B60" s="8" t="s">
        <v>103</v>
      </c>
      <c r="C60" s="19">
        <f>0.0237</f>
        <v>2.3699999999999999E-2</v>
      </c>
      <c r="D60" s="13" t="s">
        <v>92</v>
      </c>
      <c r="E60" s="13" t="s">
        <v>92</v>
      </c>
      <c r="F60" s="19">
        <f>0.088</f>
        <v>8.7999999999999995E-2</v>
      </c>
      <c r="G60" s="19">
        <f>0.0849</f>
        <v>8.4900000000000003E-2</v>
      </c>
      <c r="H60" s="19">
        <f>0.0916</f>
        <v>9.1600000000000001E-2</v>
      </c>
      <c r="I60" s="19">
        <f>0.0525</f>
        <v>5.2499999999999998E-2</v>
      </c>
      <c r="J60" s="19">
        <f>0.0541</f>
        <v>5.4100000000000002E-2</v>
      </c>
      <c r="K60" s="19">
        <f>0.0559</f>
        <v>5.5899999999999998E-2</v>
      </c>
      <c r="L60" s="19">
        <f>0.0577</f>
        <v>5.7700000000000001E-2</v>
      </c>
    </row>
    <row r="61" spans="1:12" s="1" customFormat="1">
      <c r="A61" s="7" t="s">
        <v>104</v>
      </c>
      <c r="B61" s="10" t="s">
        <v>104</v>
      </c>
      <c r="C61" s="19">
        <f>0.0237</f>
        <v>2.3699999999999999E-2</v>
      </c>
      <c r="D61" s="13" t="s">
        <v>92</v>
      </c>
      <c r="E61" s="13" t="s">
        <v>92</v>
      </c>
      <c r="F61" s="19">
        <f>0.088</f>
        <v>8.7999999999999995E-2</v>
      </c>
      <c r="G61" s="19">
        <f>0.0849</f>
        <v>8.4900000000000003E-2</v>
      </c>
      <c r="H61" s="19">
        <f>0.0916</f>
        <v>9.1600000000000001E-2</v>
      </c>
      <c r="I61" s="19">
        <f>0</f>
        <v>0</v>
      </c>
      <c r="J61" s="19">
        <f>0</f>
        <v>0</v>
      </c>
      <c r="K61" s="19">
        <f>0</f>
        <v>0</v>
      </c>
      <c r="L61" s="19">
        <f>0</f>
        <v>0</v>
      </c>
    </row>
    <row r="62" spans="1:12" s="1" customFormat="1">
      <c r="A62" s="7" t="s">
        <v>105</v>
      </c>
      <c r="B62" s="10" t="s">
        <v>105</v>
      </c>
      <c r="C62" s="19">
        <f>0.0237</f>
        <v>2.3699999999999999E-2</v>
      </c>
      <c r="D62" s="13" t="s">
        <v>92</v>
      </c>
      <c r="E62" s="13" t="s">
        <v>92</v>
      </c>
      <c r="F62" s="19">
        <f>0.088</f>
        <v>8.7999999999999995E-2</v>
      </c>
      <c r="G62" s="19">
        <f>0.0849</f>
        <v>8.4900000000000003E-2</v>
      </c>
      <c r="H62" s="19">
        <f>0.0916</f>
        <v>9.1600000000000001E-2</v>
      </c>
      <c r="I62" s="19">
        <f>0.0525</f>
        <v>5.2499999999999998E-2</v>
      </c>
      <c r="J62" s="19">
        <f>0.0541</f>
        <v>5.4100000000000002E-2</v>
      </c>
      <c r="K62" s="19">
        <f>0.0559</f>
        <v>5.5899999999999998E-2</v>
      </c>
      <c r="L62" s="19">
        <f>0.0577</f>
        <v>5.7700000000000001E-2</v>
      </c>
    </row>
    <row r="63" spans="1:12" s="1" customFormat="1" ht="114">
      <c r="A63" s="7" t="s">
        <v>106</v>
      </c>
      <c r="B63" s="8" t="s">
        <v>107</v>
      </c>
      <c r="C63" s="19">
        <f>0.1209</f>
        <v>0.12089999999999999</v>
      </c>
      <c r="D63" s="13" t="s">
        <v>92</v>
      </c>
      <c r="E63" s="13" t="s">
        <v>92</v>
      </c>
      <c r="F63" s="19">
        <f>0.0916</f>
        <v>9.1600000000000001E-2</v>
      </c>
      <c r="G63" s="19">
        <f>0.0706</f>
        <v>7.0599999999999996E-2</v>
      </c>
      <c r="H63" s="19">
        <f>0.0655</f>
        <v>6.5500000000000003E-2</v>
      </c>
      <c r="I63" s="19">
        <f>0.0882</f>
        <v>8.8200000000000001E-2</v>
      </c>
      <c r="J63" s="19">
        <f>0.0828</f>
        <v>8.2799999999999999E-2</v>
      </c>
      <c r="K63" s="19">
        <f>0.0695</f>
        <v>6.9500000000000006E-2</v>
      </c>
      <c r="L63" s="19">
        <f>0.0644</f>
        <v>6.4399999999999999E-2</v>
      </c>
    </row>
    <row r="64" spans="1:12" s="1" customFormat="1" ht="128.25">
      <c r="A64" s="7" t="s">
        <v>108</v>
      </c>
      <c r="B64" s="10" t="s">
        <v>109</v>
      </c>
      <c r="C64" s="19">
        <f>0.1363</f>
        <v>0.1363</v>
      </c>
      <c r="D64" s="13" t="s">
        <v>92</v>
      </c>
      <c r="E64" s="13" t="s">
        <v>92</v>
      </c>
      <c r="F64" s="19">
        <f>0.107</f>
        <v>0.107</v>
      </c>
      <c r="G64" s="19">
        <f>0.086</f>
        <v>8.5999999999999993E-2</v>
      </c>
      <c r="H64" s="19">
        <f>0.0655</f>
        <v>6.5500000000000003E-2</v>
      </c>
      <c r="I64" s="19">
        <f>0.0882</f>
        <v>8.8200000000000001E-2</v>
      </c>
      <c r="J64" s="19">
        <f>0.0893</f>
        <v>8.9300000000000004E-2</v>
      </c>
      <c r="K64" s="19">
        <f>0.0759</f>
        <v>7.5899999999999995E-2</v>
      </c>
      <c r="L64" s="19">
        <f>0.0644</f>
        <v>6.4399999999999999E-2</v>
      </c>
    </row>
    <row r="65" spans="1:12" s="1" customFormat="1" ht="114">
      <c r="A65" s="7" t="s">
        <v>110</v>
      </c>
      <c r="B65" s="8" t="s">
        <v>111</v>
      </c>
      <c r="C65" s="20" t="s">
        <v>182</v>
      </c>
      <c r="D65" s="13" t="s">
        <v>92</v>
      </c>
      <c r="E65" s="13" t="s">
        <v>92</v>
      </c>
      <c r="F65" s="20" t="s">
        <v>182</v>
      </c>
      <c r="G65" s="20" t="s">
        <v>182</v>
      </c>
      <c r="H65" s="20" t="s">
        <v>182</v>
      </c>
      <c r="I65" s="20" t="s">
        <v>182</v>
      </c>
      <c r="J65" s="20" t="s">
        <v>182</v>
      </c>
      <c r="K65" s="20" t="s">
        <v>182</v>
      </c>
      <c r="L65" s="20" t="s">
        <v>182</v>
      </c>
    </row>
    <row r="66" spans="1:12" s="1" customFormat="1" ht="114">
      <c r="A66" s="7" t="s">
        <v>112</v>
      </c>
      <c r="B66" s="10" t="s">
        <v>113</v>
      </c>
      <c r="C66" s="20" t="s">
        <v>182</v>
      </c>
      <c r="D66" s="13" t="s">
        <v>92</v>
      </c>
      <c r="E66" s="13" t="s">
        <v>92</v>
      </c>
      <c r="F66" s="20" t="s">
        <v>182</v>
      </c>
      <c r="G66" s="20" t="s">
        <v>182</v>
      </c>
      <c r="H66" s="20" t="s">
        <v>182</v>
      </c>
      <c r="I66" s="20" t="s">
        <v>182</v>
      </c>
      <c r="J66" s="20" t="s">
        <v>182</v>
      </c>
      <c r="K66" s="20" t="s">
        <v>182</v>
      </c>
      <c r="L66" s="20" t="s">
        <v>182</v>
      </c>
    </row>
    <row r="67" spans="1:12" s="1" customFormat="1" ht="60">
      <c r="A67" s="4">
        <v>9</v>
      </c>
      <c r="B67" s="5" t="s">
        <v>114</v>
      </c>
      <c r="C67" s="13" t="s">
        <v>92</v>
      </c>
      <c r="D67" s="13" t="s">
        <v>92</v>
      </c>
      <c r="E67" s="13" t="s">
        <v>92</v>
      </c>
      <c r="F67" s="13" t="s">
        <v>92</v>
      </c>
      <c r="G67" s="13" t="s">
        <v>92</v>
      </c>
      <c r="H67" s="13" t="s">
        <v>92</v>
      </c>
      <c r="I67" s="13" t="s">
        <v>92</v>
      </c>
      <c r="J67" s="13" t="s">
        <v>92</v>
      </c>
      <c r="K67" s="13" t="s">
        <v>92</v>
      </c>
      <c r="L67" s="13" t="s">
        <v>92</v>
      </c>
    </row>
    <row r="68" spans="1:12" s="1" customFormat="1" ht="57">
      <c r="A68" s="7" t="s">
        <v>115</v>
      </c>
      <c r="B68" s="8" t="s">
        <v>116</v>
      </c>
      <c r="C68" s="9">
        <f>480345</f>
        <v>480345</v>
      </c>
      <c r="D68" s="9">
        <v>0</v>
      </c>
      <c r="E68" s="9">
        <v>0</v>
      </c>
      <c r="F68" s="9">
        <f>543726</f>
        <v>543726</v>
      </c>
      <c r="G68" s="9">
        <f>88605</f>
        <v>88605</v>
      </c>
      <c r="H68" s="9">
        <f>0</f>
        <v>0</v>
      </c>
      <c r="I68" s="9">
        <f>0</f>
        <v>0</v>
      </c>
      <c r="J68" s="9">
        <f>0</f>
        <v>0</v>
      </c>
      <c r="K68" s="9">
        <f>0</f>
        <v>0</v>
      </c>
      <c r="L68" s="9">
        <f>0</f>
        <v>0</v>
      </c>
    </row>
    <row r="69" spans="1:12" s="1" customFormat="1" ht="71.25">
      <c r="A69" s="7" t="s">
        <v>117</v>
      </c>
      <c r="B69" s="10" t="s">
        <v>118</v>
      </c>
      <c r="C69" s="9">
        <f>480345</f>
        <v>480345</v>
      </c>
      <c r="D69" s="9">
        <v>0</v>
      </c>
      <c r="E69" s="9">
        <v>0</v>
      </c>
      <c r="F69" s="9">
        <f>543726</f>
        <v>543726</v>
      </c>
      <c r="G69" s="9">
        <f>88605</f>
        <v>88605</v>
      </c>
      <c r="H69" s="9">
        <f>0</f>
        <v>0</v>
      </c>
      <c r="I69" s="9">
        <f>0</f>
        <v>0</v>
      </c>
      <c r="J69" s="9">
        <f>0</f>
        <v>0</v>
      </c>
      <c r="K69" s="9">
        <f>0</f>
        <v>0</v>
      </c>
      <c r="L69" s="9">
        <f>0</f>
        <v>0</v>
      </c>
    </row>
    <row r="70" spans="1:12" s="1" customFormat="1" ht="28.5">
      <c r="A70" s="7" t="s">
        <v>119</v>
      </c>
      <c r="B70" s="11" t="s">
        <v>120</v>
      </c>
      <c r="C70" s="9">
        <f>480345</f>
        <v>480345</v>
      </c>
      <c r="D70" s="9">
        <v>0</v>
      </c>
      <c r="E70" s="9">
        <v>0</v>
      </c>
      <c r="F70" s="9">
        <f>543726</f>
        <v>543726</v>
      </c>
      <c r="G70" s="9">
        <f>88605</f>
        <v>88605</v>
      </c>
      <c r="H70" s="9">
        <f>0</f>
        <v>0</v>
      </c>
      <c r="I70" s="9">
        <f>0</f>
        <v>0</v>
      </c>
      <c r="J70" s="9">
        <f>0</f>
        <v>0</v>
      </c>
      <c r="K70" s="9">
        <f>0</f>
        <v>0</v>
      </c>
      <c r="L70" s="9">
        <f>0</f>
        <v>0</v>
      </c>
    </row>
    <row r="71" spans="1:12" s="1" customFormat="1" ht="57">
      <c r="A71" s="7" t="s">
        <v>121</v>
      </c>
      <c r="B71" s="8" t="s">
        <v>122</v>
      </c>
      <c r="C71" s="9">
        <f>419899</f>
        <v>419899</v>
      </c>
      <c r="D71" s="9">
        <v>0</v>
      </c>
      <c r="E71" s="9">
        <v>0</v>
      </c>
      <c r="F71" s="9">
        <f>105578</f>
        <v>105578</v>
      </c>
      <c r="G71" s="9">
        <f>194139</f>
        <v>194139</v>
      </c>
      <c r="H71" s="9">
        <f>0</f>
        <v>0</v>
      </c>
      <c r="I71" s="9">
        <f>0</f>
        <v>0</v>
      </c>
      <c r="J71" s="9">
        <f>0</f>
        <v>0</v>
      </c>
      <c r="K71" s="9">
        <f>0</f>
        <v>0</v>
      </c>
      <c r="L71" s="9">
        <f>0</f>
        <v>0</v>
      </c>
    </row>
    <row r="72" spans="1:12" s="1" customFormat="1" ht="57">
      <c r="A72" s="7" t="s">
        <v>123</v>
      </c>
      <c r="B72" s="10" t="s">
        <v>124</v>
      </c>
      <c r="C72" s="9">
        <f>419899</f>
        <v>419899</v>
      </c>
      <c r="D72" s="9">
        <v>0</v>
      </c>
      <c r="E72" s="9">
        <v>0</v>
      </c>
      <c r="F72" s="9">
        <f>105578</f>
        <v>105578</v>
      </c>
      <c r="G72" s="9">
        <f>194139</f>
        <v>194139</v>
      </c>
      <c r="H72" s="9">
        <f>0</f>
        <v>0</v>
      </c>
      <c r="I72" s="9">
        <f>0</f>
        <v>0</v>
      </c>
      <c r="J72" s="9">
        <f>0</f>
        <v>0</v>
      </c>
      <c r="K72" s="9">
        <f>0</f>
        <v>0</v>
      </c>
      <c r="L72" s="9">
        <f>0</f>
        <v>0</v>
      </c>
    </row>
    <row r="73" spans="1:12" s="1" customFormat="1" ht="28.5">
      <c r="A73" s="7" t="s">
        <v>125</v>
      </c>
      <c r="B73" s="11" t="s">
        <v>120</v>
      </c>
      <c r="C73" s="9">
        <f>419899</f>
        <v>419899</v>
      </c>
      <c r="D73" s="9">
        <v>0</v>
      </c>
      <c r="E73" s="9">
        <v>0</v>
      </c>
      <c r="F73" s="9">
        <f>105578</f>
        <v>105578</v>
      </c>
      <c r="G73" s="9">
        <f>194139</f>
        <v>194139</v>
      </c>
      <c r="H73" s="9">
        <f>0</f>
        <v>0</v>
      </c>
      <c r="I73" s="9">
        <f>0</f>
        <v>0</v>
      </c>
      <c r="J73" s="9">
        <f>0</f>
        <v>0</v>
      </c>
      <c r="K73" s="9">
        <f>0</f>
        <v>0</v>
      </c>
      <c r="L73" s="9">
        <f>0</f>
        <v>0</v>
      </c>
    </row>
    <row r="74" spans="1:12" s="1" customFormat="1" ht="57">
      <c r="A74" s="7" t="s">
        <v>126</v>
      </c>
      <c r="B74" s="8" t="s">
        <v>127</v>
      </c>
      <c r="C74" s="9">
        <f>620183</f>
        <v>620183</v>
      </c>
      <c r="D74" s="9">
        <v>0</v>
      </c>
      <c r="E74" s="9">
        <v>0</v>
      </c>
      <c r="F74" s="9">
        <f>543726</f>
        <v>543726</v>
      </c>
      <c r="G74" s="9">
        <f>88605</f>
        <v>88605</v>
      </c>
      <c r="H74" s="9">
        <f>0</f>
        <v>0</v>
      </c>
      <c r="I74" s="9">
        <f>0</f>
        <v>0</v>
      </c>
      <c r="J74" s="9">
        <f>0</f>
        <v>0</v>
      </c>
      <c r="K74" s="9">
        <f>0</f>
        <v>0</v>
      </c>
      <c r="L74" s="9">
        <f>0</f>
        <v>0</v>
      </c>
    </row>
    <row r="75" spans="1:12" s="1" customFormat="1" ht="57">
      <c r="A75" s="7" t="s">
        <v>128</v>
      </c>
      <c r="B75" s="10" t="s">
        <v>129</v>
      </c>
      <c r="C75" s="9">
        <f>620183</f>
        <v>620183</v>
      </c>
      <c r="D75" s="9">
        <v>0</v>
      </c>
      <c r="E75" s="9">
        <v>0</v>
      </c>
      <c r="F75" s="9">
        <f>543726</f>
        <v>543726</v>
      </c>
      <c r="G75" s="9">
        <f>88605</f>
        <v>88605</v>
      </c>
      <c r="H75" s="9">
        <f>0</f>
        <v>0</v>
      </c>
      <c r="I75" s="9">
        <f>0</f>
        <v>0</v>
      </c>
      <c r="J75" s="9">
        <f>0</f>
        <v>0</v>
      </c>
      <c r="K75" s="9">
        <f>0</f>
        <v>0</v>
      </c>
      <c r="L75" s="9">
        <f>0</f>
        <v>0</v>
      </c>
    </row>
    <row r="76" spans="1:12" s="1" customFormat="1" ht="28.5">
      <c r="A76" s="7" t="s">
        <v>130</v>
      </c>
      <c r="B76" s="11" t="s">
        <v>131</v>
      </c>
      <c r="C76" s="9">
        <f>480345</f>
        <v>480345</v>
      </c>
      <c r="D76" s="9">
        <v>0</v>
      </c>
      <c r="E76" s="9">
        <v>0</v>
      </c>
      <c r="F76" s="9">
        <f>543726</f>
        <v>543726</v>
      </c>
      <c r="G76" s="9">
        <f>88605</f>
        <v>88605</v>
      </c>
      <c r="H76" s="9">
        <f>0</f>
        <v>0</v>
      </c>
      <c r="I76" s="9">
        <f>0</f>
        <v>0</v>
      </c>
      <c r="J76" s="9">
        <f>0</f>
        <v>0</v>
      </c>
      <c r="K76" s="9">
        <f>0</f>
        <v>0</v>
      </c>
      <c r="L76" s="9">
        <f>0</f>
        <v>0</v>
      </c>
    </row>
    <row r="77" spans="1:12" s="1" customFormat="1" ht="57">
      <c r="A77" s="7" t="s">
        <v>132</v>
      </c>
      <c r="B77" s="8" t="s">
        <v>133</v>
      </c>
      <c r="C77" s="9">
        <f>427928</f>
        <v>427928</v>
      </c>
      <c r="D77" s="9">
        <v>8028.9</v>
      </c>
      <c r="E77" s="9">
        <v>1.88</v>
      </c>
      <c r="F77" s="9">
        <f>132988</f>
        <v>132988</v>
      </c>
      <c r="G77" s="9">
        <f>194139</f>
        <v>194139</v>
      </c>
      <c r="H77" s="9">
        <f>0</f>
        <v>0</v>
      </c>
      <c r="I77" s="9">
        <f>0</f>
        <v>0</v>
      </c>
      <c r="J77" s="9">
        <f>0</f>
        <v>0</v>
      </c>
      <c r="K77" s="9">
        <f>0</f>
        <v>0</v>
      </c>
      <c r="L77" s="9">
        <f>0</f>
        <v>0</v>
      </c>
    </row>
    <row r="78" spans="1:12" s="1" customFormat="1" ht="57">
      <c r="A78" s="7" t="s">
        <v>134</v>
      </c>
      <c r="B78" s="10" t="s">
        <v>135</v>
      </c>
      <c r="C78" s="9">
        <f>427928</f>
        <v>427928</v>
      </c>
      <c r="D78" s="9">
        <v>8028.9</v>
      </c>
      <c r="E78" s="9">
        <v>1.88</v>
      </c>
      <c r="F78" s="9">
        <f>132988</f>
        <v>132988</v>
      </c>
      <c r="G78" s="9">
        <f>194139</f>
        <v>194139</v>
      </c>
      <c r="H78" s="9">
        <f>0</f>
        <v>0</v>
      </c>
      <c r="I78" s="9">
        <f>0</f>
        <v>0</v>
      </c>
      <c r="J78" s="9">
        <f>0</f>
        <v>0</v>
      </c>
      <c r="K78" s="9">
        <f>0</f>
        <v>0</v>
      </c>
      <c r="L78" s="9">
        <f>0</f>
        <v>0</v>
      </c>
    </row>
    <row r="79" spans="1:12" s="1" customFormat="1" ht="28.5">
      <c r="A79" s="7" t="s">
        <v>136</v>
      </c>
      <c r="B79" s="11" t="s">
        <v>131</v>
      </c>
      <c r="C79" s="9">
        <f>419899</f>
        <v>419899</v>
      </c>
      <c r="D79" s="9">
        <v>0</v>
      </c>
      <c r="E79" s="9">
        <v>0</v>
      </c>
      <c r="F79" s="9">
        <f>105578</f>
        <v>105578</v>
      </c>
      <c r="G79" s="9">
        <f>194139</f>
        <v>194139</v>
      </c>
      <c r="H79" s="9">
        <f>0</f>
        <v>0</v>
      </c>
      <c r="I79" s="9">
        <f>0</f>
        <v>0</v>
      </c>
      <c r="J79" s="9">
        <f>0</f>
        <v>0</v>
      </c>
      <c r="K79" s="9">
        <f>0</f>
        <v>0</v>
      </c>
      <c r="L79" s="9">
        <f>0</f>
        <v>0</v>
      </c>
    </row>
    <row r="80" spans="1:12" s="1" customFormat="1" ht="30">
      <c r="A80" s="4">
        <v>10</v>
      </c>
      <c r="B80" s="5" t="s">
        <v>137</v>
      </c>
      <c r="C80" s="13" t="s">
        <v>92</v>
      </c>
      <c r="D80" s="13" t="s">
        <v>92</v>
      </c>
      <c r="E80" s="13" t="s">
        <v>92</v>
      </c>
      <c r="F80" s="13" t="s">
        <v>92</v>
      </c>
      <c r="G80" s="13" t="s">
        <v>92</v>
      </c>
      <c r="H80" s="13" t="s">
        <v>92</v>
      </c>
      <c r="I80" s="13" t="s">
        <v>92</v>
      </c>
      <c r="J80" s="13" t="s">
        <v>92</v>
      </c>
      <c r="K80" s="13" t="s">
        <v>92</v>
      </c>
      <c r="L80" s="13" t="s">
        <v>92</v>
      </c>
    </row>
    <row r="81" spans="1:12" s="1" customFormat="1" ht="28.5">
      <c r="A81" s="7" t="s">
        <v>138</v>
      </c>
      <c r="B81" s="21" t="s">
        <v>139</v>
      </c>
      <c r="C81" s="9">
        <f>1246870</f>
        <v>1246870</v>
      </c>
      <c r="D81" s="22">
        <v>487372.75</v>
      </c>
      <c r="E81" s="22">
        <v>39.090000000000003</v>
      </c>
      <c r="F81" s="9">
        <f>961765</f>
        <v>961765</v>
      </c>
      <c r="G81" s="9">
        <f>557933</f>
        <v>557933</v>
      </c>
      <c r="H81" s="9">
        <f>0</f>
        <v>0</v>
      </c>
      <c r="I81" s="9">
        <f>0</f>
        <v>0</v>
      </c>
      <c r="J81" s="9">
        <f>0</f>
        <v>0</v>
      </c>
      <c r="K81" s="9">
        <f>0</f>
        <v>0</v>
      </c>
      <c r="L81" s="9">
        <f>0</f>
        <v>0</v>
      </c>
    </row>
    <row r="82" spans="1:12" s="1" customFormat="1" ht="14.25">
      <c r="A82" s="7" t="s">
        <v>140</v>
      </c>
      <c r="B82" s="10" t="s">
        <v>141</v>
      </c>
      <c r="C82" s="9">
        <f>621683</f>
        <v>621683</v>
      </c>
      <c r="D82" s="22">
        <v>0</v>
      </c>
      <c r="E82" s="22">
        <v>0</v>
      </c>
      <c r="F82" s="9">
        <f>699044</f>
        <v>699044</v>
      </c>
      <c r="G82" s="9">
        <f>104435</f>
        <v>104435</v>
      </c>
      <c r="H82" s="9">
        <f>0</f>
        <v>0</v>
      </c>
      <c r="I82" s="9">
        <f>0</f>
        <v>0</v>
      </c>
      <c r="J82" s="9">
        <f>0</f>
        <v>0</v>
      </c>
      <c r="K82" s="9">
        <f>0</f>
        <v>0</v>
      </c>
      <c r="L82" s="9">
        <f>0</f>
        <v>0</v>
      </c>
    </row>
    <row r="83" spans="1:12" s="1" customFormat="1" ht="14.25">
      <c r="A83" s="7" t="s">
        <v>142</v>
      </c>
      <c r="B83" s="10" t="s">
        <v>143</v>
      </c>
      <c r="C83" s="9">
        <f>625187</f>
        <v>625187</v>
      </c>
      <c r="D83" s="22">
        <v>487372.75</v>
      </c>
      <c r="E83" s="22">
        <v>77.959999999999994</v>
      </c>
      <c r="F83" s="9">
        <f>262721</f>
        <v>262721</v>
      </c>
      <c r="G83" s="9">
        <f>453498</f>
        <v>453498</v>
      </c>
      <c r="H83" s="9">
        <f>0</f>
        <v>0</v>
      </c>
      <c r="I83" s="9">
        <f>0</f>
        <v>0</v>
      </c>
      <c r="J83" s="9">
        <f>0</f>
        <v>0</v>
      </c>
      <c r="K83" s="9">
        <f>0</f>
        <v>0</v>
      </c>
      <c r="L83" s="9">
        <f>0</f>
        <v>0</v>
      </c>
    </row>
    <row r="84" spans="1:12" s="1" customFormat="1" ht="42.75">
      <c r="A84" s="7" t="s">
        <v>144</v>
      </c>
      <c r="B84" s="8" t="s">
        <v>145</v>
      </c>
      <c r="C84" s="9">
        <f>0</f>
        <v>0</v>
      </c>
      <c r="D84" s="9">
        <f>0</f>
        <v>0</v>
      </c>
      <c r="E84" s="9">
        <f>0</f>
        <v>0</v>
      </c>
      <c r="F84" s="9">
        <f>0</f>
        <v>0</v>
      </c>
      <c r="G84" s="9">
        <f>0</f>
        <v>0</v>
      </c>
      <c r="H84" s="9">
        <f>0</f>
        <v>0</v>
      </c>
      <c r="I84" s="9">
        <f>0</f>
        <v>0</v>
      </c>
      <c r="J84" s="9">
        <f>0</f>
        <v>0</v>
      </c>
      <c r="K84" s="9">
        <f>0</f>
        <v>0</v>
      </c>
      <c r="L84" s="9">
        <f>0</f>
        <v>0</v>
      </c>
    </row>
    <row r="85" spans="1:12" s="1" customFormat="1" ht="57">
      <c r="A85" s="7" t="s">
        <v>146</v>
      </c>
      <c r="B85" s="8" t="s">
        <v>147</v>
      </c>
      <c r="C85" s="9">
        <f>0</f>
        <v>0</v>
      </c>
      <c r="D85" s="9">
        <f>0</f>
        <v>0</v>
      </c>
      <c r="E85" s="9">
        <f>0</f>
        <v>0</v>
      </c>
      <c r="F85" s="9">
        <f>0</f>
        <v>0</v>
      </c>
      <c r="G85" s="9">
        <f>0</f>
        <v>0</v>
      </c>
      <c r="H85" s="9">
        <f>0</f>
        <v>0</v>
      </c>
      <c r="I85" s="9">
        <f>0</f>
        <v>0</v>
      </c>
      <c r="J85" s="9">
        <f>0</f>
        <v>0</v>
      </c>
      <c r="K85" s="9">
        <f>0</f>
        <v>0</v>
      </c>
      <c r="L85" s="9">
        <f>0</f>
        <v>0</v>
      </c>
    </row>
    <row r="86" spans="1:12" s="1" customFormat="1" ht="85.5">
      <c r="A86" s="7" t="s">
        <v>148</v>
      </c>
      <c r="B86" s="8" t="s">
        <v>149</v>
      </c>
      <c r="C86" s="9">
        <f>0</f>
        <v>0</v>
      </c>
      <c r="D86" s="9">
        <f>0</f>
        <v>0</v>
      </c>
      <c r="E86" s="9">
        <f>0</f>
        <v>0</v>
      </c>
      <c r="F86" s="9">
        <f>0</f>
        <v>0</v>
      </c>
      <c r="G86" s="9">
        <f>0</f>
        <v>0</v>
      </c>
      <c r="H86" s="9">
        <f>0</f>
        <v>0</v>
      </c>
      <c r="I86" s="9">
        <f>0</f>
        <v>0</v>
      </c>
      <c r="J86" s="9">
        <f>0</f>
        <v>0</v>
      </c>
      <c r="K86" s="9">
        <f>0</f>
        <v>0</v>
      </c>
      <c r="L86" s="9">
        <f>0</f>
        <v>0</v>
      </c>
    </row>
    <row r="87" spans="1:12" s="1" customFormat="1" ht="71.25">
      <c r="A87" s="7" t="s">
        <v>150</v>
      </c>
      <c r="B87" s="8" t="s">
        <v>151</v>
      </c>
      <c r="C87" s="9">
        <f>0</f>
        <v>0</v>
      </c>
      <c r="D87" s="9">
        <f>0</f>
        <v>0</v>
      </c>
      <c r="E87" s="9">
        <f>0</f>
        <v>0</v>
      </c>
      <c r="F87" s="9">
        <f>0</f>
        <v>0</v>
      </c>
      <c r="G87" s="9">
        <f>0</f>
        <v>0</v>
      </c>
      <c r="H87" s="9">
        <f>0</f>
        <v>0</v>
      </c>
      <c r="I87" s="9">
        <f>0</f>
        <v>0</v>
      </c>
      <c r="J87" s="9">
        <f>0</f>
        <v>0</v>
      </c>
      <c r="K87" s="9">
        <f>0</f>
        <v>0</v>
      </c>
      <c r="L87" s="9">
        <f>0</f>
        <v>0</v>
      </c>
    </row>
    <row r="88" spans="1:12" s="1" customFormat="1" ht="42.75">
      <c r="A88" s="7" t="s">
        <v>152</v>
      </c>
      <c r="B88" s="8" t="s">
        <v>153</v>
      </c>
      <c r="C88" s="9">
        <f>1234416</f>
        <v>1234416</v>
      </c>
      <c r="D88" s="9">
        <v>860906</v>
      </c>
      <c r="E88" s="9">
        <v>69.739999999999995</v>
      </c>
      <c r="F88" s="9">
        <f>1093285</f>
        <v>1093285</v>
      </c>
      <c r="G88" s="9">
        <f>1093294</f>
        <v>1093294</v>
      </c>
      <c r="H88" s="9">
        <f>1027750</f>
        <v>1027750</v>
      </c>
      <c r="I88" s="9">
        <f>0</f>
        <v>0</v>
      </c>
      <c r="J88" s="9">
        <f>0</f>
        <v>0</v>
      </c>
      <c r="K88" s="9">
        <f>0</f>
        <v>0</v>
      </c>
      <c r="L88" s="9">
        <f>0</f>
        <v>0</v>
      </c>
    </row>
    <row r="89" spans="1:12" s="1" customFormat="1" ht="14.25">
      <c r="A89" s="7" t="s">
        <v>154</v>
      </c>
      <c r="B89" s="8" t="s">
        <v>155</v>
      </c>
      <c r="C89" s="9">
        <f>0</f>
        <v>0</v>
      </c>
      <c r="D89" s="9">
        <f>0</f>
        <v>0</v>
      </c>
      <c r="E89" s="9">
        <f>0</f>
        <v>0</v>
      </c>
      <c r="F89" s="9">
        <f>0</f>
        <v>0</v>
      </c>
      <c r="G89" s="9">
        <f>0</f>
        <v>0</v>
      </c>
      <c r="H89" s="9">
        <f>0</f>
        <v>0</v>
      </c>
      <c r="I89" s="9">
        <f>0</f>
        <v>0</v>
      </c>
      <c r="J89" s="9">
        <f>0</f>
        <v>0</v>
      </c>
      <c r="K89" s="9">
        <f>0</f>
        <v>0</v>
      </c>
      <c r="L89" s="9">
        <f>0</f>
        <v>0</v>
      </c>
    </row>
    <row r="90" spans="1:12" s="1" customFormat="1" ht="28.5">
      <c r="A90" s="7" t="s">
        <v>156</v>
      </c>
      <c r="B90" s="10" t="s">
        <v>157</v>
      </c>
      <c r="C90" s="9">
        <f>0</f>
        <v>0</v>
      </c>
      <c r="D90" s="9">
        <f>0</f>
        <v>0</v>
      </c>
      <c r="E90" s="9">
        <f>0</f>
        <v>0</v>
      </c>
      <c r="F90" s="9">
        <f>0</f>
        <v>0</v>
      </c>
      <c r="G90" s="9">
        <f>0</f>
        <v>0</v>
      </c>
      <c r="H90" s="9">
        <f>0</f>
        <v>0</v>
      </c>
      <c r="I90" s="9">
        <f>0</f>
        <v>0</v>
      </c>
      <c r="J90" s="9">
        <f>0</f>
        <v>0</v>
      </c>
      <c r="K90" s="9">
        <f>0</f>
        <v>0</v>
      </c>
      <c r="L90" s="9">
        <f>0</f>
        <v>0</v>
      </c>
    </row>
    <row r="91" spans="1:12" s="1" customFormat="1" ht="28.5">
      <c r="A91" s="7" t="s">
        <v>158</v>
      </c>
      <c r="B91" s="10" t="s">
        <v>159</v>
      </c>
      <c r="C91" s="9">
        <f>0</f>
        <v>0</v>
      </c>
      <c r="D91" s="9">
        <f>0</f>
        <v>0</v>
      </c>
      <c r="E91" s="9">
        <f>0</f>
        <v>0</v>
      </c>
      <c r="F91" s="9">
        <f>0</f>
        <v>0</v>
      </c>
      <c r="G91" s="9">
        <f>0</f>
        <v>0</v>
      </c>
      <c r="H91" s="9">
        <f>0</f>
        <v>0</v>
      </c>
      <c r="I91" s="9">
        <f>0</f>
        <v>0</v>
      </c>
      <c r="J91" s="9">
        <f>0</f>
        <v>0</v>
      </c>
      <c r="K91" s="9">
        <f>0</f>
        <v>0</v>
      </c>
      <c r="L91" s="9">
        <f>0</f>
        <v>0</v>
      </c>
    </row>
    <row r="92" spans="1:12" s="1" customFormat="1" ht="28.5">
      <c r="A92" s="7" t="s">
        <v>160</v>
      </c>
      <c r="B92" s="11" t="s">
        <v>161</v>
      </c>
      <c r="C92" s="9">
        <f>0</f>
        <v>0</v>
      </c>
      <c r="D92" s="9">
        <f>0</f>
        <v>0</v>
      </c>
      <c r="E92" s="9">
        <f>0</f>
        <v>0</v>
      </c>
      <c r="F92" s="9">
        <f>0</f>
        <v>0</v>
      </c>
      <c r="G92" s="9">
        <f>0</f>
        <v>0</v>
      </c>
      <c r="H92" s="9">
        <f>0</f>
        <v>0</v>
      </c>
      <c r="I92" s="9">
        <f>0</f>
        <v>0</v>
      </c>
      <c r="J92" s="9">
        <f>0</f>
        <v>0</v>
      </c>
      <c r="K92" s="9">
        <f>0</f>
        <v>0</v>
      </c>
      <c r="L92" s="9">
        <f>0</f>
        <v>0</v>
      </c>
    </row>
    <row r="93" spans="1:12" s="1" customFormat="1" ht="28.5">
      <c r="A93" s="7" t="s">
        <v>162</v>
      </c>
      <c r="B93" s="15" t="s">
        <v>163</v>
      </c>
      <c r="C93" s="9">
        <f>0</f>
        <v>0</v>
      </c>
      <c r="D93" s="9">
        <f>0</f>
        <v>0</v>
      </c>
      <c r="E93" s="9">
        <f>0</f>
        <v>0</v>
      </c>
      <c r="F93" s="9">
        <f>0</f>
        <v>0</v>
      </c>
      <c r="G93" s="9">
        <f>0</f>
        <v>0</v>
      </c>
      <c r="H93" s="9">
        <f>0</f>
        <v>0</v>
      </c>
      <c r="I93" s="9">
        <f>0</f>
        <v>0</v>
      </c>
      <c r="J93" s="9">
        <f>0</f>
        <v>0</v>
      </c>
      <c r="K93" s="9">
        <f>0</f>
        <v>0</v>
      </c>
      <c r="L93" s="9">
        <f>0</f>
        <v>0</v>
      </c>
    </row>
    <row r="94" spans="1:12" s="1" customFormat="1" ht="28.5">
      <c r="A94" s="7" t="s">
        <v>164</v>
      </c>
      <c r="B94" s="10" t="s">
        <v>165</v>
      </c>
      <c r="C94" s="9">
        <f>0</f>
        <v>0</v>
      </c>
      <c r="D94" s="9">
        <f>0</f>
        <v>0</v>
      </c>
      <c r="E94" s="9">
        <f>0</f>
        <v>0</v>
      </c>
      <c r="F94" s="9">
        <f>0</f>
        <v>0</v>
      </c>
      <c r="G94" s="9">
        <f>0</f>
        <v>0</v>
      </c>
      <c r="H94" s="9">
        <f>0</f>
        <v>0</v>
      </c>
      <c r="I94" s="9">
        <f>0</f>
        <v>0</v>
      </c>
      <c r="J94" s="9">
        <f>0</f>
        <v>0</v>
      </c>
      <c r="K94" s="9">
        <f>0</f>
        <v>0</v>
      </c>
      <c r="L94" s="9">
        <f>0</f>
        <v>0</v>
      </c>
    </row>
    <row r="95" spans="1:12" s="1" customFormat="1" ht="42.75">
      <c r="A95" s="7" t="s">
        <v>166</v>
      </c>
      <c r="B95" s="8" t="s">
        <v>167</v>
      </c>
      <c r="C95" s="9">
        <f>0</f>
        <v>0</v>
      </c>
      <c r="D95" s="9">
        <f>0</f>
        <v>0</v>
      </c>
      <c r="E95" s="9">
        <f>0</f>
        <v>0</v>
      </c>
      <c r="F95" s="9">
        <f>0</f>
        <v>0</v>
      </c>
      <c r="G95" s="9">
        <f>0</f>
        <v>0</v>
      </c>
      <c r="H95" s="9">
        <f>0</f>
        <v>0</v>
      </c>
      <c r="I95" s="9">
        <f>0</f>
        <v>0</v>
      </c>
      <c r="J95" s="9">
        <f>0</f>
        <v>0</v>
      </c>
      <c r="K95" s="9">
        <f>0</f>
        <v>0</v>
      </c>
      <c r="L95" s="9">
        <f>0</f>
        <v>0</v>
      </c>
    </row>
    <row r="96" spans="1:12" s="1" customFormat="1" ht="57">
      <c r="A96" s="7" t="s">
        <v>168</v>
      </c>
      <c r="B96" s="8" t="s">
        <v>169</v>
      </c>
      <c r="C96" s="9">
        <f>0</f>
        <v>0</v>
      </c>
      <c r="D96" s="9">
        <f>0</f>
        <v>0</v>
      </c>
      <c r="E96" s="9">
        <f>0</f>
        <v>0</v>
      </c>
      <c r="F96" s="9">
        <f>0</f>
        <v>0</v>
      </c>
      <c r="G96" s="9">
        <f>0</f>
        <v>0</v>
      </c>
      <c r="H96" s="9">
        <f>0</f>
        <v>0</v>
      </c>
      <c r="I96" s="9">
        <f>0</f>
        <v>0</v>
      </c>
      <c r="J96" s="9">
        <f>0</f>
        <v>0</v>
      </c>
      <c r="K96" s="9">
        <f>0</f>
        <v>0</v>
      </c>
      <c r="L96" s="9">
        <f>0</f>
        <v>0</v>
      </c>
    </row>
    <row r="97" spans="1:12" s="1" customFormat="1" ht="114">
      <c r="A97" s="7" t="s">
        <v>170</v>
      </c>
      <c r="B97" s="8" t="s">
        <v>171</v>
      </c>
      <c r="C97" s="9">
        <f>0</f>
        <v>0</v>
      </c>
      <c r="D97" s="9">
        <f>0</f>
        <v>0</v>
      </c>
      <c r="E97" s="9">
        <f>0</f>
        <v>0</v>
      </c>
      <c r="F97" s="9">
        <f>0</f>
        <v>0</v>
      </c>
      <c r="G97" s="9">
        <f>0</f>
        <v>0</v>
      </c>
      <c r="H97" s="9">
        <f>0</f>
        <v>0</v>
      </c>
      <c r="I97" s="9">
        <f>0</f>
        <v>0</v>
      </c>
      <c r="J97" s="9">
        <f>0</f>
        <v>0</v>
      </c>
      <c r="K97" s="9">
        <f>0</f>
        <v>0</v>
      </c>
      <c r="L97" s="9">
        <f>0</f>
        <v>0</v>
      </c>
    </row>
    <row r="98" spans="1:12" s="1" customFormat="1" ht="42.75">
      <c r="A98" s="7" t="s">
        <v>172</v>
      </c>
      <c r="B98" s="8" t="s">
        <v>173</v>
      </c>
      <c r="C98" s="9">
        <f>0</f>
        <v>0</v>
      </c>
      <c r="D98" s="9">
        <f>0</f>
        <v>0</v>
      </c>
      <c r="E98" s="9">
        <f>0</f>
        <v>0</v>
      </c>
      <c r="F98" s="9">
        <f>0</f>
        <v>0</v>
      </c>
      <c r="G98" s="9">
        <f>0</f>
        <v>0</v>
      </c>
      <c r="H98" s="9">
        <f>0</f>
        <v>0</v>
      </c>
      <c r="I98" s="9">
        <f>0</f>
        <v>0</v>
      </c>
      <c r="J98" s="9">
        <f>0</f>
        <v>0</v>
      </c>
      <c r="K98" s="9">
        <f>0</f>
        <v>0</v>
      </c>
      <c r="L98" s="9">
        <f>0</f>
        <v>0</v>
      </c>
    </row>
    <row r="99" spans="1:12" s="1" customFormat="1" ht="14.25"/>
    <row r="100" spans="1:12" s="1" customFormat="1" ht="14.25"/>
    <row r="101" spans="1:12" s="1" customFormat="1" ht="14.25"/>
    <row r="102" spans="1:12" s="1" customFormat="1" ht="14.25"/>
    <row r="103" spans="1:12" s="1" customFormat="1" ht="14.25"/>
    <row r="104" spans="1:12" s="1" customFormat="1" ht="14.25"/>
    <row r="105" spans="1:12" s="1" customFormat="1" ht="14.25"/>
    <row r="106" spans="1:12" s="1" customFormat="1" ht="14.25"/>
    <row r="107" spans="1:12" s="1" customFormat="1" ht="14.25"/>
    <row r="108" spans="1:12" s="1" customFormat="1" ht="14.25"/>
    <row r="109" spans="1:12" s="1" customFormat="1" ht="14.25"/>
    <row r="110" spans="1:12" s="1" customFormat="1" ht="14.25"/>
    <row r="111" spans="1:12" s="1" customFormat="1" ht="14.25"/>
    <row r="112" spans="1: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</sheetData>
  <mergeCells count="2">
    <mergeCell ref="B1:B2"/>
    <mergeCell ref="K1:L1"/>
  </mergeCells>
  <conditionalFormatting sqref="C57:C58 F57:L58">
    <cfRule type="expression" dxfId="1" priority="2" stopIfTrue="1">
      <formula>LEFT(C57,3)="Nie"</formula>
    </cfRule>
  </conditionalFormatting>
  <conditionalFormatting sqref="C65:C66 F65:L66">
    <cfRule type="cellIs" dxfId="0" priority="1" stopIfTrue="1" operator="equal">
      <formula>"Nie spełniona"</formula>
    </cfRule>
  </conditionalFormatting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Kwiatkowska</dc:creator>
  <cp:lastModifiedBy>Aneta Kwiatkowska</cp:lastModifiedBy>
  <cp:lastPrinted>2021-08-20T11:35:07Z</cp:lastPrinted>
  <dcterms:created xsi:type="dcterms:W3CDTF">2021-08-13T13:26:50Z</dcterms:created>
  <dcterms:modified xsi:type="dcterms:W3CDTF">2021-08-20T11:45:54Z</dcterms:modified>
</cp:coreProperties>
</file>