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dmioty Gospodarcze\Podmioty obsługiwane\Samorządy\Gościeradów\2019 - 2020\ZapytaniaOfertyAnalizy\Przetarg\SIWZ\Projekty SIWZ\"/>
    </mc:Choice>
  </mc:AlternateContent>
  <bookViews>
    <workbookView xWindow="0" yWindow="0" windowWidth="20490" windowHeight="7755" activeTab="3"/>
  </bookViews>
  <sheets>
    <sheet name="Zakładka nr 1" sheetId="1" r:id="rId1"/>
    <sheet name="Zakładka nr 2" sheetId="2" r:id="rId2"/>
    <sheet name="Zakładka nr 3" sheetId="3" r:id="rId3"/>
    <sheet name="Zakładka nr 4" sheetId="5" r:id="rId4"/>
  </sheets>
  <calcPr calcId="152511"/>
</workbook>
</file>

<file path=xl/calcChain.xml><?xml version="1.0" encoding="utf-8"?>
<calcChain xmlns="http://schemas.openxmlformats.org/spreadsheetml/2006/main">
  <c r="D17" i="2" l="1"/>
  <c r="D15" i="2"/>
  <c r="D16" i="2"/>
  <c r="O49" i="1"/>
  <c r="O50" i="1"/>
  <c r="O48" i="1"/>
  <c r="D5" i="2" l="1"/>
  <c r="D3" i="2"/>
  <c r="O44" i="1"/>
  <c r="O43" i="1"/>
  <c r="K42" i="1" l="1"/>
  <c r="K41" i="1"/>
  <c r="K40" i="1"/>
  <c r="K39" i="1"/>
  <c r="D51" i="2"/>
  <c r="D49" i="2"/>
  <c r="D48" i="2"/>
  <c r="D46" i="2"/>
  <c r="O70" i="1"/>
  <c r="O71" i="1"/>
  <c r="K67" i="1"/>
  <c r="D42" i="2"/>
  <c r="D40" i="2"/>
  <c r="D39" i="2"/>
  <c r="O62" i="1"/>
  <c r="K62" i="1" s="1"/>
  <c r="O61" i="1"/>
  <c r="K61" i="1"/>
  <c r="D35" i="2"/>
  <c r="O59" i="1"/>
  <c r="O58" i="1"/>
  <c r="D26" i="2"/>
  <c r="D30" i="2"/>
  <c r="D29" i="2"/>
  <c r="D28" i="2"/>
  <c r="D27" i="2"/>
  <c r="O56" i="1"/>
  <c r="O55" i="1"/>
  <c r="D22" i="2"/>
  <c r="D21" i="2"/>
  <c r="O51" i="1"/>
  <c r="O46" i="1"/>
  <c r="D11" i="2"/>
  <c r="D10" i="2"/>
  <c r="D8" i="2"/>
  <c r="O45" i="1"/>
  <c r="K69" i="1" l="1"/>
  <c r="K68" i="1" l="1"/>
  <c r="K66" i="1"/>
  <c r="D50" i="2"/>
  <c r="K70" i="1"/>
  <c r="K58" i="1"/>
  <c r="R53" i="1"/>
  <c r="K55" i="1"/>
  <c r="N54" i="1"/>
  <c r="K54" i="1" s="1"/>
  <c r="K51" i="1"/>
  <c r="K48" i="1"/>
  <c r="K45" i="1" l="1"/>
  <c r="C27" i="3"/>
  <c r="K28" i="1"/>
  <c r="C28" i="3"/>
  <c r="C26" i="3"/>
  <c r="C24" i="3"/>
  <c r="K43" i="1"/>
  <c r="K44" i="1"/>
  <c r="K27" i="1"/>
  <c r="K29" i="1"/>
  <c r="K37" i="1"/>
  <c r="N53" i="1" l="1"/>
  <c r="K38" i="1" l="1"/>
  <c r="N65" i="1" l="1"/>
  <c r="N57" i="1" l="1"/>
  <c r="R49" i="1"/>
  <c r="R54" i="1" l="1"/>
  <c r="K36" i="1"/>
  <c r="K30" i="1"/>
  <c r="K31" i="1"/>
  <c r="K32" i="1"/>
  <c r="K33" i="1"/>
  <c r="K34" i="1"/>
  <c r="K35" i="1"/>
  <c r="N26" i="1"/>
  <c r="K26" i="1" s="1"/>
  <c r="N25" i="1"/>
  <c r="K25" i="1" s="1"/>
  <c r="N24" i="1"/>
  <c r="K24" i="1" s="1"/>
  <c r="C23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K65" i="1"/>
  <c r="N3" i="1"/>
  <c r="K3" i="1" s="1"/>
  <c r="N4" i="1"/>
  <c r="K4" i="1" s="1"/>
  <c r="N5" i="1"/>
  <c r="K5" i="1" s="1"/>
  <c r="N6" i="1"/>
  <c r="K6" i="1" s="1"/>
  <c r="N7" i="1"/>
  <c r="K7" i="1" s="1"/>
  <c r="N8" i="1"/>
  <c r="K8" i="1" s="1"/>
  <c r="N9" i="1"/>
  <c r="K9" i="1" s="1"/>
  <c r="N10" i="1"/>
  <c r="K10" i="1" s="1"/>
  <c r="N11" i="1"/>
  <c r="K11" i="1" s="1"/>
  <c r="N12" i="1"/>
  <c r="K12" i="1" s="1"/>
  <c r="N13" i="1"/>
  <c r="K13" i="1" s="1"/>
  <c r="N14" i="1"/>
  <c r="K14" i="1" s="1"/>
  <c r="N15" i="1"/>
  <c r="K15" i="1" s="1"/>
  <c r="N16" i="1"/>
  <c r="K16" i="1" s="1"/>
  <c r="N17" i="1"/>
  <c r="K17" i="1" s="1"/>
  <c r="N18" i="1"/>
  <c r="K18" i="1" s="1"/>
  <c r="N19" i="1"/>
  <c r="K19" i="1" s="1"/>
  <c r="N20" i="1"/>
  <c r="K20" i="1" s="1"/>
  <c r="N21" i="1"/>
  <c r="K21" i="1" s="1"/>
  <c r="N22" i="1"/>
  <c r="K22" i="1" s="1"/>
  <c r="N23" i="1"/>
  <c r="K23" i="1" s="1"/>
  <c r="N46" i="1"/>
  <c r="K46" i="1" s="1"/>
  <c r="R46" i="1" s="1"/>
  <c r="N47" i="1"/>
  <c r="K47" i="1" s="1"/>
  <c r="N49" i="1"/>
  <c r="K49" i="1" s="1"/>
  <c r="N50" i="1"/>
  <c r="K50" i="1" s="1"/>
  <c r="K52" i="1" l="1"/>
  <c r="K53" i="1"/>
  <c r="N56" i="1"/>
  <c r="K56" i="1" s="1"/>
  <c r="K60" i="1"/>
  <c r="N59" i="1"/>
  <c r="K59" i="1" s="1"/>
  <c r="K57" i="1"/>
  <c r="N63" i="1"/>
  <c r="K63" i="1" s="1"/>
  <c r="N64" i="1"/>
  <c r="K64" i="1" s="1"/>
  <c r="N71" i="1"/>
  <c r="K71" i="1" s="1"/>
  <c r="R63" i="1" s="1"/>
  <c r="R60" i="1" l="1"/>
  <c r="K72" i="1"/>
</calcChain>
</file>

<file path=xl/sharedStrings.xml><?xml version="1.0" encoding="utf-8"?>
<sst xmlns="http://schemas.openxmlformats.org/spreadsheetml/2006/main" count="864" uniqueCount="333">
  <si>
    <t>Lp.</t>
  </si>
  <si>
    <t>Jednostka orgnizacyjna</t>
  </si>
  <si>
    <t>Rok budowy</t>
  </si>
  <si>
    <t>Materiały konstrukcyjne</t>
  </si>
  <si>
    <t>Wartość O m2</t>
  </si>
  <si>
    <t>Wartość O</t>
  </si>
  <si>
    <t>Wartość KB</t>
  </si>
  <si>
    <t>ścian</t>
  </si>
  <si>
    <t>stropów</t>
  </si>
  <si>
    <t>stropodachu</t>
  </si>
  <si>
    <t>pokrycie dachu</t>
  </si>
  <si>
    <t>1.</t>
  </si>
  <si>
    <t>2.</t>
  </si>
  <si>
    <t>3.</t>
  </si>
  <si>
    <t>4.</t>
  </si>
  <si>
    <t>5.</t>
  </si>
  <si>
    <t>6.</t>
  </si>
  <si>
    <t>-</t>
  </si>
  <si>
    <t>7.</t>
  </si>
  <si>
    <t>8.</t>
  </si>
  <si>
    <t>9.</t>
  </si>
  <si>
    <r>
      <t>Pow. użytk. w m</t>
    </r>
    <r>
      <rPr>
        <b/>
        <vertAlign val="superscript"/>
        <sz val="10"/>
        <rFont val="Arial Narrow"/>
        <family val="2"/>
        <charset val="238"/>
      </rPr>
      <t>2</t>
    </r>
  </si>
  <si>
    <t>Remonty</t>
  </si>
  <si>
    <t>Suma ubezpieczenia</t>
  </si>
  <si>
    <t>L.p.</t>
  </si>
  <si>
    <t>Przedmiot ubezpieczenia</t>
  </si>
  <si>
    <t>Sprzęt stacjonarny</t>
  </si>
  <si>
    <t>Sprzęt przenośny</t>
  </si>
  <si>
    <t>Kserokopiarki i urządzenia wielofunkcyjne</t>
  </si>
  <si>
    <t>Centrale i faxy</t>
  </si>
  <si>
    <t>Oprogramowanie</t>
  </si>
  <si>
    <t>Jednostka</t>
  </si>
  <si>
    <t>Zabezpieczenia przeciwpożarowe</t>
  </si>
  <si>
    <t>Zabezpieczenia przeciwkradzieżowe</t>
  </si>
  <si>
    <t>Nr rej.</t>
  </si>
  <si>
    <t>Marka</t>
  </si>
  <si>
    <t>Typ/model</t>
  </si>
  <si>
    <t>Rodzaj</t>
  </si>
  <si>
    <t>Poj./ład.</t>
  </si>
  <si>
    <t>L. miejsc</t>
  </si>
  <si>
    <t>Nr nadwozia</t>
  </si>
  <si>
    <t>Okres OC</t>
  </si>
  <si>
    <t>Lokalizacja</t>
  </si>
  <si>
    <t>o</t>
  </si>
  <si>
    <t>p</t>
  </si>
  <si>
    <t>s</t>
  </si>
  <si>
    <t>b</t>
  </si>
  <si>
    <t>w</t>
  </si>
  <si>
    <t>bu</t>
  </si>
  <si>
    <t>Rodzaj sumy ubezpieczenia</t>
  </si>
  <si>
    <t>Wyposażenie i urządzenia</t>
  </si>
  <si>
    <t xml:space="preserve">8. </t>
  </si>
  <si>
    <t>Centrala telefoniczna, faksy</t>
  </si>
  <si>
    <t>Okres NW</t>
  </si>
  <si>
    <t xml:space="preserve">Rok prod. </t>
  </si>
  <si>
    <t>Włściciel</t>
  </si>
  <si>
    <t>* wartosc szacowana</t>
  </si>
  <si>
    <t>1. Urząd Gminy</t>
  </si>
  <si>
    <t>3. Gminny Ośrodek Kultury</t>
  </si>
  <si>
    <t>4. Gminna Biblioteka Publiczna</t>
  </si>
  <si>
    <t>1.Urząd Gminy</t>
  </si>
  <si>
    <t>2.Gminny Ośrodek Pomocy Społecznej</t>
  </si>
  <si>
    <t>4.Gminna Biblioteka Publiczna</t>
  </si>
  <si>
    <t>2. Gminny Ośrodek Pomocy Społecznej</t>
  </si>
  <si>
    <t>4. Gminna Bibloteka Publiczna</t>
  </si>
  <si>
    <t xml:space="preserve">murowane </t>
  </si>
  <si>
    <t>beton</t>
  </si>
  <si>
    <t>papa</t>
  </si>
  <si>
    <t>eternit</t>
  </si>
  <si>
    <t>drewniany</t>
  </si>
  <si>
    <t>drewno</t>
  </si>
  <si>
    <t>betonowy</t>
  </si>
  <si>
    <t>cegła</t>
  </si>
  <si>
    <t>Lokalizacja / przeznaczenie+C:L</t>
  </si>
  <si>
    <t>blacha</t>
  </si>
  <si>
    <t>Jednostka ma swoją siedzibę w budynku Urzędu Gminy</t>
  </si>
  <si>
    <t>Ursus</t>
  </si>
  <si>
    <t xml:space="preserve">Star </t>
  </si>
  <si>
    <t>Lublin</t>
  </si>
  <si>
    <t>Opel</t>
  </si>
  <si>
    <t>FS Lublin</t>
  </si>
  <si>
    <t>Autosan</t>
  </si>
  <si>
    <t>ciężarowy</t>
  </si>
  <si>
    <t>osobowy</t>
  </si>
  <si>
    <t>pożarniczy</t>
  </si>
  <si>
    <t>przyczepa</t>
  </si>
  <si>
    <t>Urząd Gminy</t>
  </si>
  <si>
    <t>KB wartość księgowa brutto</t>
  </si>
  <si>
    <t>**  O wartość odtwoerzeniowa</t>
  </si>
  <si>
    <t>*  WO wartość własna odtwoerzeniowa</t>
  </si>
  <si>
    <t>Budynek światlica środoiskowa OPS</t>
  </si>
  <si>
    <t>Budynek administracyjny Urzędu Gminy</t>
  </si>
  <si>
    <t>Budynek socjalno - magazynowy</t>
  </si>
  <si>
    <t>Budynek Osrodka Zdrowia Księżomierz Gościeradowska</t>
  </si>
  <si>
    <t>Budynek Ośodka Zdrowia Gościeradów Folwark</t>
  </si>
  <si>
    <t>Budynek Ośrodka Zdrowia Lisnik Duży</t>
  </si>
  <si>
    <t>Garaż - Ośrodek Zdrowia w Gościeradowie</t>
  </si>
  <si>
    <t>Budynek UG biura GS Gościeradów Ukazowy</t>
  </si>
  <si>
    <t>Budynek UG magazyn GS Gościeradów Ukazowy</t>
  </si>
  <si>
    <t>murowane</t>
  </si>
  <si>
    <t>balacha</t>
  </si>
  <si>
    <t>żelbet</t>
  </si>
  <si>
    <t>plyty betonowe</t>
  </si>
  <si>
    <t>płyty betonowe</t>
  </si>
  <si>
    <t>Budynek - światlica Wólka Szczecka</t>
  </si>
  <si>
    <t>Budynek po byłej szkole w Marynopolu</t>
  </si>
  <si>
    <t>Garaż OSP Liśnik Duży</t>
  </si>
  <si>
    <t>Budynek OSP Księżomierz Gościeradowska</t>
  </si>
  <si>
    <t>Budynek OSP Wólka Gościeradowska</t>
  </si>
  <si>
    <t>Garaż OSP Wólka Gościeradowska</t>
  </si>
  <si>
    <t>Budynek OSP Gościeradów Folwar</t>
  </si>
  <si>
    <t>Garaż OSP Gościeradów Folwar</t>
  </si>
  <si>
    <t>Budynek OSP Aleksandrów</t>
  </si>
  <si>
    <t>Budynek OSP Marynopole - światlica wiejska</t>
  </si>
  <si>
    <t>Budynek OSP Szczecyn</t>
  </si>
  <si>
    <t>Budynek OSP Suchodoły</t>
  </si>
  <si>
    <t>Budynek OSP Salomin</t>
  </si>
  <si>
    <t>suporex</t>
  </si>
  <si>
    <t>cegła, suporex</t>
  </si>
  <si>
    <t>betonowy, drewniany</t>
  </si>
  <si>
    <t>drewno, PCV</t>
  </si>
  <si>
    <t>suporex, drewniany</t>
  </si>
  <si>
    <t xml:space="preserve">beton  </t>
  </si>
  <si>
    <t>suporex, cegła</t>
  </si>
  <si>
    <t>Budynek świetlica Kolonia Liśnik Duży</t>
  </si>
  <si>
    <t>2007, 2009 remont wewnętrzny, elewacja, dach</t>
  </si>
  <si>
    <t>2007 remont pomieszczeń wewnętrznych, instalacja C.O. elewacja, okna, dach</t>
  </si>
  <si>
    <t>2007, 2008 pokrycie dachowe, pomieszczeń wewnętrzntych, okna</t>
  </si>
  <si>
    <t>2008 remont kotłowni, wymiana okien</t>
  </si>
  <si>
    <t>2008, 2010 wymiana instalacji wodno-kanalizacyjnej, CO.O., remont pomieszczeń, elewacja wymiana okien, dach</t>
  </si>
  <si>
    <t>2005 remnt kotłowni, wymiana okien, pochylnia dla niepełnosprawnych</t>
  </si>
  <si>
    <t>suporekx</t>
  </si>
  <si>
    <t>drewno, beton</t>
  </si>
  <si>
    <t>Budynek urzędu gminy (po byłej szkole w Suchodołach)</t>
  </si>
  <si>
    <t>belki metalowe + cegła</t>
  </si>
  <si>
    <t>Plac zabaw w Księżomierzy Kolonii wraz z wyposażeniem i ogrodzeniem</t>
  </si>
  <si>
    <t>Plac zabaw w Gośceradowie Folwarku wraz z wyposażeniem i ogrodzeniem</t>
  </si>
  <si>
    <t>Stadion sportowy z ogrodzeniem</t>
  </si>
  <si>
    <t>Plac zabaw z wyposażenie i ogrodzenie w Gościeradowie Ukazowym</t>
  </si>
  <si>
    <t>Infrastruktura w Wólce Gościeradowskiej w tym altana</t>
  </si>
  <si>
    <t>Budynek administracyjno-biurowy</t>
  </si>
  <si>
    <t>Świetlica kulturalno-społeczna w Liśniku Dużym - Kolonii (dawny budynek OSP)*</t>
  </si>
  <si>
    <t>Wyposażenie (sprzęt muzyczny)</t>
  </si>
  <si>
    <t>przyjęcie 2010</t>
  </si>
  <si>
    <t>b.d.</t>
  </si>
  <si>
    <t>5. Zespół Placówek Oświatowych im. Jana Pawła II w Gościeradowie</t>
  </si>
  <si>
    <t>Budynek gospodarczy Szkoły Podstawowej w Gościeradowie</t>
  </si>
  <si>
    <t>5. Zespół Placówek Ośwaitowych im. Jana Pawła II w Gościeradowie</t>
  </si>
  <si>
    <t>Telewizory</t>
  </si>
  <si>
    <t>6. Szkoła Podstawowa w Mniszku</t>
  </si>
  <si>
    <t>Budynek szkoły z dobudową</t>
  </si>
  <si>
    <t>1926, 2004, 2012</t>
  </si>
  <si>
    <t>kamień biały, bloczek betonowy</t>
  </si>
  <si>
    <t>1963, 2009</t>
  </si>
  <si>
    <t>beton pokryty papą</t>
  </si>
  <si>
    <t>blacha na drewnianych krokwiach</t>
  </si>
  <si>
    <t>7. Zespół Szkł Samorzadowych im. Janiany Wierzchowskiej w Liśniku Dużym</t>
  </si>
  <si>
    <t>8. Zespół Szkół im. Józefa Twaroga w Księżomierzu</t>
  </si>
  <si>
    <t>8. Zespół Szkół im. Jóżefa Twaroga w Księżomierzu</t>
  </si>
  <si>
    <t>Budynek Szkoły z ogrodzeniem Księżomierz Kościelmna 14</t>
  </si>
  <si>
    <t>Budynek warsztatów szkolnych z ogrodzeniem Księżomierz Kościelna 14</t>
  </si>
  <si>
    <t>Budynek Przedszkola z ogrodzeniem Księżomierz ul. Dzierzkowska 4</t>
  </si>
  <si>
    <t>betonowy konstrukcja więźby - krokwie</t>
  </si>
  <si>
    <t>2002-2004 wymiana okien 2006 - remont kapitalny (wymiana kotłów CO)2006-2007- remont elewacji , wymiana dachów</t>
  </si>
  <si>
    <t>ok 1965</t>
  </si>
  <si>
    <t>2011 remont elewacji wymiana dachu i stropów</t>
  </si>
  <si>
    <t>Plac zabaw z wyposażeniem i ogrodzeniem Księżomierz Dzierzkowska</t>
  </si>
  <si>
    <t>LKR 25RW</t>
  </si>
  <si>
    <t>Vivaro</t>
  </si>
  <si>
    <t>WOLJ7BHB68V607077</t>
  </si>
  <si>
    <t>LKR E274</t>
  </si>
  <si>
    <t>D-47A</t>
  </si>
  <si>
    <t>0 / 4000</t>
  </si>
  <si>
    <t>TBW 2919</t>
  </si>
  <si>
    <t>ciągnik</t>
  </si>
  <si>
    <t>LKR 91WX</t>
  </si>
  <si>
    <t>A07H</t>
  </si>
  <si>
    <t>/ 850</t>
  </si>
  <si>
    <t>TBD 4636</t>
  </si>
  <si>
    <t>Żuk</t>
  </si>
  <si>
    <t>A16</t>
  </si>
  <si>
    <t>/ 800</t>
  </si>
  <si>
    <t>SUL15621JS0579661</t>
  </si>
  <si>
    <t>LKR C277</t>
  </si>
  <si>
    <t>Jelcz</t>
  </si>
  <si>
    <t>/ 5000</t>
  </si>
  <si>
    <t>LLY 4425</t>
  </si>
  <si>
    <t>A07</t>
  </si>
  <si>
    <t>TBF 4350</t>
  </si>
  <si>
    <t>Star</t>
  </si>
  <si>
    <t>LKR 08239</t>
  </si>
  <si>
    <t>A200</t>
  </si>
  <si>
    <t>/ 4500</t>
  </si>
  <si>
    <t>LKR 09EJ</t>
  </si>
  <si>
    <t>Pronar</t>
  </si>
  <si>
    <t>T653</t>
  </si>
  <si>
    <t>SZB6530XX71X03530</t>
  </si>
  <si>
    <t>LKR X802</t>
  </si>
  <si>
    <t>/ 1230</t>
  </si>
  <si>
    <t>SUL35243730074912</t>
  </si>
  <si>
    <t>LKR 55ER</t>
  </si>
  <si>
    <t>Świdnik Trade</t>
  </si>
  <si>
    <t>23603SE</t>
  </si>
  <si>
    <t>0 / 555</t>
  </si>
  <si>
    <t>SWH2360S69B001990</t>
  </si>
  <si>
    <t>LKR L458</t>
  </si>
  <si>
    <t>Lublin 3</t>
  </si>
  <si>
    <t>/ 3500</t>
  </si>
  <si>
    <t>SUL35242710071520</t>
  </si>
  <si>
    <t>LKR 28AL</t>
  </si>
  <si>
    <t>II 3314</t>
  </si>
  <si>
    <t>LKR 04VN</t>
  </si>
  <si>
    <t>LKR 89FT</t>
  </si>
  <si>
    <t>LKR 03575</t>
  </si>
  <si>
    <t>MAN</t>
  </si>
  <si>
    <t>Stolarczyk TGM  13,290</t>
  </si>
  <si>
    <t>/6871</t>
  </si>
  <si>
    <t>WMAN36ZZ1BY253093</t>
  </si>
  <si>
    <t>Gmina Gościeradów</t>
  </si>
  <si>
    <t>LKR 04598</t>
  </si>
  <si>
    <t>6842/</t>
  </si>
  <si>
    <t>LKR 8F77</t>
  </si>
  <si>
    <t>TEMA</t>
  </si>
  <si>
    <t>23.02</t>
  </si>
  <si>
    <t>przyczepka lekka</t>
  </si>
  <si>
    <t>/530</t>
  </si>
  <si>
    <t>SWH236223PB043954</t>
  </si>
  <si>
    <t xml:space="preserve">Zgodnie z przepisami p.poż.: gaśnice lub agregaty 2 szt., </t>
  </si>
  <si>
    <t>Zgodnie z przepisami p.poż.: gaśnice lub agregaty 2 szt.</t>
  </si>
  <si>
    <t>Zgodnie z przepisami p.poż.: hydranty zewnętrzne 1 szt., hydranty wewnętrzne 1 szt., gaśnica lub agregaty 1 szt.</t>
  </si>
  <si>
    <t>Co najmniej 2 zamki wielozastawkowe w każdych drzwiach zewnętrznych</t>
  </si>
  <si>
    <t>Budynek urzędu gminy (po byłej szkole w Suchodołach</t>
  </si>
  <si>
    <t>Zgodnie z przepisami p.poż.: hydranty zewnętrzne 1 szt., gaśnica lub agregaty 8 szt.</t>
  </si>
  <si>
    <t>Budynek szkoła Podstawowa w Goscieardowie</t>
  </si>
  <si>
    <t>Zgodnie z przepisami p.poż.: hydranty zewnętrzne, gaśnica lub agregaty, hydranty wewnętrzne</t>
  </si>
  <si>
    <t>6. Publiczna Szkoła Podstawowa im. Marii Konopnickiej w Mniszku</t>
  </si>
  <si>
    <t>Zgodnie z przepisami p.poż.: hydranty zewnętrzne, gaśnica lub agregaty</t>
  </si>
  <si>
    <t>7. Zespół Szkół im. Janiny Wierzchowskiej w Liśniku Dużym</t>
  </si>
  <si>
    <t>Budynek Zespółu Szkół</t>
  </si>
  <si>
    <t>Zgodnie z przepisami p.poż.: gaśnica lub agregaty 4 szt.</t>
  </si>
  <si>
    <t>Okratowane okna budynku (biblioteka - parter)</t>
  </si>
  <si>
    <t>O</t>
  </si>
  <si>
    <t>KB</t>
  </si>
  <si>
    <t xml:space="preserve">Budynek Zespółu Szkół </t>
  </si>
  <si>
    <t>Plac zabaw w Liśniku Duzym wraz z wyposażeniem i ogrodzeniem</t>
  </si>
  <si>
    <t>Dzienny Dom Pobytu Seniora "Wigor"</t>
  </si>
  <si>
    <t>Budynek po posterunku Policji</t>
  </si>
  <si>
    <t>dachówka</t>
  </si>
  <si>
    <t>Urządzena wodociagowe - hydrofornie osiedle POM Gościeradów wraz z ogrodzeniem</t>
  </si>
  <si>
    <t xml:space="preserve">Plac zabaw w Wólce Gościeradowskiej </t>
  </si>
  <si>
    <t>Sprzęt elektroniczny starszy niż 7 lat</t>
  </si>
  <si>
    <t>ss</t>
  </si>
  <si>
    <t xml:space="preserve">Zgodnie z przepisami p.poż.: gaśnice lub agregaty 4 szt., hydranty wewnetrzne 4szt. </t>
  </si>
  <si>
    <t>Zgodnie z przepisami p.poż.: gaśnice</t>
  </si>
  <si>
    <t>Zgodnie z przepisami p.poż.: gaśnica 1 szt.</t>
  </si>
  <si>
    <t xml:space="preserve">Zgodnie z przepisami p.poż.: </t>
  </si>
  <si>
    <t>: hydranty zewnętrzne 1 szt., gaśnica lub agregaty 1 szt.</t>
  </si>
  <si>
    <t xml:space="preserve"> hydranty zewnętrzne 1 szt., gaśnica lub agregaty 1 szt.</t>
  </si>
  <si>
    <t>gaśnice lub agregaty 1 szt.</t>
  </si>
  <si>
    <t xml:space="preserve"> gaśnice lub agregaty 1 szt.</t>
  </si>
  <si>
    <t>Budynek gospodarczy przy Dziennym Domu Pobytu Seniora "Wigor"</t>
  </si>
  <si>
    <t>gaśnica lub agregaty 1 szt.</t>
  </si>
  <si>
    <t>Co najmniej 2 zamki wielozastawkowe w każdych drzwiach zewnętrznych,</t>
  </si>
  <si>
    <t>remont pomieszczeń wew., indtalacji kanalizacyjnej, pokrycia dachowego</t>
  </si>
  <si>
    <t>LKR 37375</t>
  </si>
  <si>
    <t xml:space="preserve">Ford </t>
  </si>
  <si>
    <t>Transit</t>
  </si>
  <si>
    <t>WF0FXXTTGFHJ57865</t>
  </si>
  <si>
    <t>Suma ubepzieczenia</t>
  </si>
  <si>
    <t>LKR 34182</t>
  </si>
  <si>
    <t>Renault</t>
  </si>
  <si>
    <t>Master</t>
  </si>
  <si>
    <t>VF1HDCUK634947512</t>
  </si>
  <si>
    <t>LKR 6N28</t>
  </si>
  <si>
    <t>Class</t>
  </si>
  <si>
    <t>Ares</t>
  </si>
  <si>
    <t>H5332EA5332150</t>
  </si>
  <si>
    <t>Wyposażenie i urządzenia w tym namiot i kosiarka</t>
  </si>
  <si>
    <t>Zgodnie z przepisami p.poż.: hydranty zewnętrzne 1 szt., gaśnica lub agregaty 5 szt.</t>
  </si>
  <si>
    <t xml:space="preserve">Stadion sportowy  </t>
  </si>
  <si>
    <t>Zgodnie z przepisami p. poż. Hydanty zewnętrzne, gaśnice</t>
  </si>
  <si>
    <t>Co najmniej 2 zamki wielozastawkowe w każdych drzwiach zewnętrznych, system alarmujący służby z całodobową ochroną</t>
  </si>
  <si>
    <t>Wyposażenie i  urządzenia</t>
  </si>
  <si>
    <t xml:space="preserve">Sprzęt nagłośnieniowy </t>
  </si>
  <si>
    <t>Zgodnie z przepisami p.poż.: gaśnica lub agregaty 13 szt., hydranty wewnętrzne 4 szt.</t>
  </si>
  <si>
    <t>Wyosażenie i urzadzenia w tym piec CO i kosiarki</t>
  </si>
  <si>
    <t>Plac zabaw przy Przedszkolu</t>
  </si>
  <si>
    <t>SUL00721J50579605</t>
  </si>
  <si>
    <t>SUL331412V0028031</t>
  </si>
  <si>
    <t>Budynek Szkoły  Księżomierz Kościelmna 14</t>
  </si>
  <si>
    <t>Budynek warsztatów szkolnych Księżomierz Kościelna 14</t>
  </si>
  <si>
    <t>Budynek Przedszkola  Księżomierz ul. Dzierzkowska 4</t>
  </si>
  <si>
    <t>Ogrodzenie budynku szkoły i warsztatów</t>
  </si>
  <si>
    <t>Ogrodzenie budynku przedszkola</t>
  </si>
  <si>
    <t>Okres AC</t>
  </si>
  <si>
    <t>28.11.2018 27.11.2020</t>
  </si>
  <si>
    <t>12.09.2018 11.09.2020</t>
  </si>
  <si>
    <t>10.08.2018 09.08.2020</t>
  </si>
  <si>
    <t>08.02.2018 07.02.2020</t>
  </si>
  <si>
    <t>01.01.2018 31.12.2019</t>
  </si>
  <si>
    <t>29.11.2017 28.11.2019</t>
  </si>
  <si>
    <t>--</t>
  </si>
  <si>
    <t>Sprzęt przenośny wtym telefony komórkowe</t>
  </si>
  <si>
    <t xml:space="preserve">Budynek Szkoły Podstawowej w Goscieardowie </t>
  </si>
  <si>
    <t>murowany</t>
  </si>
  <si>
    <t>Zgodnie z przepisami p.poż.: gaśnica lub agregaty</t>
  </si>
  <si>
    <t>Plac zabaw przy Szkole</t>
  </si>
  <si>
    <t xml:space="preserve">Brak nr rej. </t>
  </si>
  <si>
    <t>koparko - ładowarka</t>
  </si>
  <si>
    <t>Terex</t>
  </si>
  <si>
    <t>SC07CG3744</t>
  </si>
  <si>
    <t>12.04.2020 13.04.2022</t>
  </si>
  <si>
    <t>autobus</t>
  </si>
  <si>
    <t>LKR 38708</t>
  </si>
  <si>
    <t>Ford</t>
  </si>
  <si>
    <t>WF0HXXTTGHHC68519</t>
  </si>
  <si>
    <t>20.12.2019 19.12.2021</t>
  </si>
  <si>
    <t>Otwarte strefy aktywności Księżomierz</t>
  </si>
  <si>
    <t>Otwarte strefy aktywności Liśnik Duży</t>
  </si>
  <si>
    <t>Otwarte strefy aktywności Gościeradów</t>
  </si>
  <si>
    <t>Siłownia napowietrzna w Gościeradowie Ukazowym</t>
  </si>
  <si>
    <t>System do gosowania elektronicznego RG</t>
  </si>
  <si>
    <t>Sprzet nagłośnieniowy</t>
  </si>
  <si>
    <t>LKR 1S43</t>
  </si>
  <si>
    <t>CASSE</t>
  </si>
  <si>
    <t>MX135</t>
  </si>
  <si>
    <t>ciągnik rolniczy</t>
  </si>
  <si>
    <t>X135AC477E1102660</t>
  </si>
  <si>
    <t>22.08.2019 21.08.2020</t>
  </si>
  <si>
    <t>LKR 4T02</t>
  </si>
  <si>
    <t>RECORD</t>
  </si>
  <si>
    <t>P100LT</t>
  </si>
  <si>
    <t>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</si>
</sst>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&quot; zł&quot;"/>
    <numFmt numFmtId="165" formatCode="#,##0.00\ [$zł-415];[Red]\-#,##0.00\ [$zł-415]"/>
    <numFmt numFmtId="166" formatCode="_-* #,##0.00&quot; zł&quot;_-;\-* #,##0.00&quot; zł&quot;_-;_-* \-??&quot; zł&quot;_-;_-@_-"/>
    <numFmt numFmtId="167" formatCode="#,##0.00\ &quot;zł&quot;"/>
  </numFmts>
  <fonts count="42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1"/>
      <color indexed="10"/>
      <name val="Times New Roman"/>
      <family val="1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0"/>
      <name val="Arial Narrow"/>
      <family val="2"/>
      <charset val="238"/>
    </font>
    <font>
      <b/>
      <sz val="10"/>
      <color theme="0" tint="-0.249977111117893"/>
      <name val="Arial Narrow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5" fillId="0" borderId="0"/>
    <xf numFmtId="0" fontId="17" fillId="20" borderId="1" applyNumberFormat="0" applyAlignment="0" applyProtection="0"/>
    <xf numFmtId="9" fontId="5" fillId="0" borderId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23" borderId="9" applyNumberFormat="0" applyAlignment="0" applyProtection="0"/>
    <xf numFmtId="44" fontId="1" fillId="0" borderId="0" applyFont="0" applyFill="0" applyBorder="0" applyAlignment="0" applyProtection="0"/>
    <xf numFmtId="166" fontId="5" fillId="0" borderId="0" applyFill="0" applyBorder="0" applyAlignment="0" applyProtection="0"/>
    <xf numFmtId="0" fontId="22" fillId="3" borderId="0" applyNumberFormat="0" applyBorder="0" applyAlignment="0" applyProtection="0"/>
  </cellStyleXfs>
  <cellXfs count="328">
    <xf numFmtId="0" fontId="0" fillId="0" borderId="0" xfId="0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0" fillId="0" borderId="0" xfId="0" applyAlignment="1">
      <alignment horizontal="center"/>
    </xf>
    <xf numFmtId="0" fontId="25" fillId="0" borderId="0" xfId="0" applyFont="1"/>
    <xf numFmtId="0" fontId="27" fillId="0" borderId="0" xfId="0" applyFont="1"/>
    <xf numFmtId="0" fontId="4" fillId="0" borderId="11" xfId="35" applyFont="1" applyBorder="1" applyAlignment="1">
      <alignment horizontal="left"/>
    </xf>
    <xf numFmtId="49" fontId="27" fillId="0" borderId="0" xfId="0" applyNumberFormat="1" applyFont="1"/>
    <xf numFmtId="0" fontId="4" fillId="25" borderId="10" xfId="35" applyFont="1" applyFill="1" applyBorder="1" applyAlignment="1">
      <alignment horizontal="center" wrapText="1"/>
    </xf>
    <xf numFmtId="164" fontId="4" fillId="25" borderId="10" xfId="35" applyNumberFormat="1" applyFont="1" applyFill="1" applyBorder="1" applyAlignment="1">
      <alignment horizontal="center" wrapText="1"/>
    </xf>
    <xf numFmtId="164" fontId="4" fillId="25" borderId="10" xfId="35" applyNumberFormat="1" applyFont="1" applyFill="1" applyBorder="1"/>
    <xf numFmtId="0" fontId="4" fillId="25" borderId="10" xfId="35" applyFont="1" applyFill="1" applyBorder="1" applyAlignment="1">
      <alignment horizontal="center"/>
    </xf>
    <xf numFmtId="0" fontId="4" fillId="0" borderId="0" xfId="0" applyFont="1"/>
    <xf numFmtId="0" fontId="25" fillId="0" borderId="0" xfId="0" applyFont="1" applyAlignment="1">
      <alignment wrapText="1"/>
    </xf>
    <xf numFmtId="49" fontId="25" fillId="0" borderId="0" xfId="0" applyNumberFormat="1" applyFont="1" applyAlignment="1">
      <alignment wrapText="1"/>
    </xf>
    <xf numFmtId="166" fontId="25" fillId="0" borderId="0" xfId="0" applyNumberFormat="1" applyFont="1"/>
    <xf numFmtId="49" fontId="4" fillId="0" borderId="10" xfId="0" applyNumberFormat="1" applyFont="1" applyBorder="1" applyAlignment="1">
      <alignment horizontal="left" wrapText="1"/>
    </xf>
    <xf numFmtId="49" fontId="25" fillId="0" borderId="16" xfId="0" applyNumberFormat="1" applyFont="1" applyBorder="1" applyAlignment="1">
      <alignment horizontal="left" wrapText="1"/>
    </xf>
    <xf numFmtId="49" fontId="4" fillId="0" borderId="14" xfId="0" applyNumberFormat="1" applyFont="1" applyBorder="1" applyAlignment="1">
      <alignment horizontal="left" wrapText="1"/>
    </xf>
    <xf numFmtId="49" fontId="4" fillId="0" borderId="17" xfId="0" applyNumberFormat="1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2" fillId="0" borderId="22" xfId="35" applyFont="1" applyBorder="1" applyAlignment="1">
      <alignment vertical="top"/>
    </xf>
    <xf numFmtId="0" fontId="2" fillId="0" borderId="23" xfId="35" applyFont="1" applyBorder="1" applyAlignment="1">
      <alignment vertical="top"/>
    </xf>
    <xf numFmtId="49" fontId="25" fillId="0" borderId="0" xfId="0" applyNumberFormat="1" applyFont="1" applyAlignment="1">
      <alignment horizontal="left"/>
    </xf>
    <xf numFmtId="44" fontId="2" fillId="0" borderId="26" xfId="43" applyFont="1" applyBorder="1" applyAlignment="1">
      <alignment vertical="top"/>
    </xf>
    <xf numFmtId="44" fontId="2" fillId="20" borderId="11" xfId="43" applyFont="1" applyFill="1" applyBorder="1" applyAlignment="1" applyProtection="1">
      <alignment horizontal="center" vertical="center"/>
    </xf>
    <xf numFmtId="44" fontId="4" fillId="0" borderId="11" xfId="43" applyFont="1" applyFill="1" applyBorder="1" applyAlignment="1" applyProtection="1">
      <alignment horizontal="right" wrapText="1"/>
      <protection locked="0"/>
    </xf>
    <xf numFmtId="44" fontId="25" fillId="0" borderId="0" xfId="43" applyFont="1"/>
    <xf numFmtId="43" fontId="25" fillId="0" borderId="0" xfId="0" applyNumberFormat="1" applyFont="1"/>
    <xf numFmtId="44" fontId="0" fillId="0" borderId="0" xfId="0" applyNumberFormat="1"/>
    <xf numFmtId="0" fontId="26" fillId="0" borderId="0" xfId="0" applyFont="1"/>
    <xf numFmtId="0" fontId="25" fillId="0" borderId="10" xfId="0" applyFont="1" applyBorder="1"/>
    <xf numFmtId="0" fontId="2" fillId="28" borderId="18" xfId="35" applyFont="1" applyFill="1" applyBorder="1" applyAlignment="1">
      <alignment horizontal="center" wrapText="1"/>
    </xf>
    <xf numFmtId="164" fontId="2" fillId="28" borderId="18" xfId="35" applyNumberFormat="1" applyFont="1" applyFill="1" applyBorder="1" applyAlignment="1">
      <alignment horizontal="center" wrapText="1"/>
    </xf>
    <xf numFmtId="0" fontId="24" fillId="0" borderId="0" xfId="0" applyFont="1" applyFill="1"/>
    <xf numFmtId="0" fontId="4" fillId="0" borderId="10" xfId="0" applyFont="1" applyBorder="1"/>
    <xf numFmtId="0" fontId="26" fillId="27" borderId="18" xfId="0" applyFont="1" applyFill="1" applyBorder="1" applyAlignment="1">
      <alignment horizontal="left" wrapText="1"/>
    </xf>
    <xf numFmtId="49" fontId="4" fillId="0" borderId="18" xfId="0" applyNumberFormat="1" applyFont="1" applyBorder="1" applyAlignment="1">
      <alignment horizontal="left" wrapText="1"/>
    </xf>
    <xf numFmtId="49" fontId="4" fillId="0" borderId="30" xfId="0" applyNumberFormat="1" applyFont="1" applyBorder="1" applyAlignment="1">
      <alignment horizontal="left" wrapText="1"/>
    </xf>
    <xf numFmtId="49" fontId="4" fillId="0" borderId="31" xfId="0" applyNumberFormat="1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44" fontId="25" fillId="0" borderId="0" xfId="0" applyNumberFormat="1" applyFont="1"/>
    <xf numFmtId="0" fontId="24" fillId="0" borderId="0" xfId="0" applyFont="1" applyAlignment="1">
      <alignment horizontal="center"/>
    </xf>
    <xf numFmtId="0" fontId="4" fillId="0" borderId="39" xfId="0" applyFont="1" applyBorder="1" applyAlignment="1">
      <alignment horizontal="left" wrapText="1"/>
    </xf>
    <xf numFmtId="0" fontId="25" fillId="0" borderId="30" xfId="0" applyFont="1" applyBorder="1" applyAlignment="1">
      <alignment wrapText="1"/>
    </xf>
    <xf numFmtId="0" fontId="4" fillId="0" borderId="40" xfId="0" applyFont="1" applyBorder="1" applyAlignment="1">
      <alignment horizontal="left" wrapText="1"/>
    </xf>
    <xf numFmtId="0" fontId="29" fillId="0" borderId="16" xfId="0" applyFont="1" applyBorder="1" applyAlignment="1">
      <alignment horizontal="center" wrapText="1"/>
    </xf>
    <xf numFmtId="0" fontId="4" fillId="25" borderId="34" xfId="35" applyFont="1" applyFill="1" applyBorder="1" applyAlignment="1">
      <alignment wrapText="1"/>
    </xf>
    <xf numFmtId="49" fontId="25" fillId="0" borderId="31" xfId="0" applyNumberFormat="1" applyFont="1" applyBorder="1" applyAlignment="1">
      <alignment horizontal="left" wrapText="1"/>
    </xf>
    <xf numFmtId="49" fontId="4" fillId="0" borderId="16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25" borderId="18" xfId="35" applyFont="1" applyFill="1" applyBorder="1" applyAlignment="1">
      <alignment horizontal="center" wrapText="1"/>
    </xf>
    <xf numFmtId="164" fontId="4" fillId="25" borderId="18" xfId="35" applyNumberFormat="1" applyFont="1" applyFill="1" applyBorder="1"/>
    <xf numFmtId="0" fontId="4" fillId="25" borderId="30" xfId="35" applyFont="1" applyFill="1" applyBorder="1" applyAlignment="1">
      <alignment horizontal="center"/>
    </xf>
    <xf numFmtId="0" fontId="4" fillId="25" borderId="30" xfId="35" applyFont="1" applyFill="1" applyBorder="1" applyAlignment="1">
      <alignment horizontal="center" wrapText="1"/>
    </xf>
    <xf numFmtId="164" fontId="4" fillId="25" borderId="30" xfId="35" applyNumberFormat="1" applyFont="1" applyFill="1" applyBorder="1" applyAlignment="1">
      <alignment horizontal="center" wrapText="1"/>
    </xf>
    <xf numFmtId="164" fontId="4" fillId="25" borderId="30" xfId="35" applyNumberFormat="1" applyFont="1" applyFill="1" applyBorder="1"/>
    <xf numFmtId="164" fontId="2" fillId="20" borderId="31" xfId="44" applyNumberFormat="1" applyFont="1" applyFill="1" applyBorder="1" applyAlignment="1" applyProtection="1">
      <alignment horizontal="center" vertical="center" wrapText="1"/>
    </xf>
    <xf numFmtId="164" fontId="2" fillId="20" borderId="38" xfId="44" applyNumberFormat="1" applyFont="1" applyFill="1" applyBorder="1" applyAlignment="1" applyProtection="1">
      <alignment horizontal="center" vertical="center" wrapText="1"/>
    </xf>
    <xf numFmtId="164" fontId="4" fillId="25" borderId="31" xfId="35" applyNumberFormat="1" applyFont="1" applyFill="1" applyBorder="1" applyAlignment="1">
      <alignment horizontal="center"/>
    </xf>
    <xf numFmtId="164" fontId="4" fillId="25" borderId="16" xfId="35" applyNumberFormat="1" applyFont="1" applyFill="1" applyBorder="1" applyAlignment="1">
      <alignment horizontal="center"/>
    </xf>
    <xf numFmtId="164" fontId="4" fillId="25" borderId="38" xfId="35" applyNumberFormat="1" applyFont="1" applyFill="1" applyBorder="1" applyAlignment="1">
      <alignment horizontal="center"/>
    </xf>
    <xf numFmtId="0" fontId="25" fillId="0" borderId="14" xfId="0" applyFont="1" applyBorder="1"/>
    <xf numFmtId="49" fontId="25" fillId="0" borderId="17" xfId="0" applyNumberFormat="1" applyFont="1" applyBorder="1" applyAlignment="1">
      <alignment horizontal="left" wrapText="1"/>
    </xf>
    <xf numFmtId="0" fontId="4" fillId="0" borderId="10" xfId="0" applyFont="1" applyFill="1" applyBorder="1" applyAlignment="1">
      <alignment wrapText="1"/>
    </xf>
    <xf numFmtId="0" fontId="4" fillId="25" borderId="18" xfId="35" applyFont="1" applyFill="1" applyBorder="1" applyAlignment="1">
      <alignment horizontal="center"/>
    </xf>
    <xf numFmtId="164" fontId="4" fillId="25" borderId="18" xfId="35" applyNumberFormat="1" applyFont="1" applyFill="1" applyBorder="1" applyAlignment="1">
      <alignment horizontal="center" wrapText="1"/>
    </xf>
    <xf numFmtId="0" fontId="4" fillId="0" borderId="34" xfId="0" applyFont="1" applyBorder="1" applyAlignment="1">
      <alignment horizontal="left" wrapText="1"/>
    </xf>
    <xf numFmtId="0" fontId="4" fillId="0" borderId="45" xfId="0" applyFont="1" applyBorder="1" applyAlignment="1">
      <alignment horizontal="left" wrapText="1"/>
    </xf>
    <xf numFmtId="0" fontId="4" fillId="0" borderId="30" xfId="0" applyFont="1" applyFill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57" xfId="0" applyFont="1" applyBorder="1" applyAlignment="1">
      <alignment horizontal="left" wrapText="1"/>
    </xf>
    <xf numFmtId="0" fontId="4" fillId="25" borderId="21" xfId="35" applyFont="1" applyFill="1" applyBorder="1" applyAlignment="1">
      <alignment horizontal="left" wrapText="1"/>
    </xf>
    <xf numFmtId="49" fontId="4" fillId="0" borderId="15" xfId="0" applyNumberFormat="1" applyFont="1" applyBorder="1" applyAlignment="1">
      <alignment horizontal="left" wrapText="1"/>
    </xf>
    <xf numFmtId="49" fontId="25" fillId="0" borderId="40" xfId="0" applyNumberFormat="1" applyFont="1" applyBorder="1" applyAlignment="1">
      <alignment horizontal="left" wrapText="1"/>
    </xf>
    <xf numFmtId="0" fontId="4" fillId="0" borderId="30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wrapText="1"/>
    </xf>
    <xf numFmtId="0" fontId="2" fillId="20" borderId="11" xfId="35" applyFont="1" applyFill="1" applyBorder="1" applyAlignment="1">
      <alignment horizontal="center" vertical="center"/>
    </xf>
    <xf numFmtId="0" fontId="4" fillId="0" borderId="22" xfId="35" applyFont="1" applyBorder="1" applyAlignment="1">
      <alignment vertical="top" wrapText="1"/>
    </xf>
    <xf numFmtId="0" fontId="4" fillId="0" borderId="26" xfId="35" applyFont="1" applyBorder="1" applyAlignment="1">
      <alignment vertical="top" wrapText="1"/>
    </xf>
    <xf numFmtId="0" fontId="2" fillId="20" borderId="11" xfId="35" applyFont="1" applyFill="1" applyBorder="1" applyAlignment="1">
      <alignment horizontal="center" vertical="center"/>
    </xf>
    <xf numFmtId="0" fontId="31" fillId="0" borderId="0" xfId="0" applyFont="1"/>
    <xf numFmtId="44" fontId="31" fillId="0" borderId="0" xfId="0" applyNumberFormat="1" applyFont="1"/>
    <xf numFmtId="165" fontId="31" fillId="0" borderId="0" xfId="0" applyNumberFormat="1" applyFont="1"/>
    <xf numFmtId="44" fontId="32" fillId="0" borderId="0" xfId="0" applyNumberFormat="1" applyFont="1" applyFill="1"/>
    <xf numFmtId="164" fontId="32" fillId="0" borderId="0" xfId="0" applyNumberFormat="1" applyFont="1" applyFill="1"/>
    <xf numFmtId="0" fontId="32" fillId="0" borderId="0" xfId="0" applyFont="1"/>
    <xf numFmtId="44" fontId="32" fillId="0" borderId="0" xfId="0" applyNumberFormat="1" applyFont="1"/>
    <xf numFmtId="165" fontId="32" fillId="0" borderId="0" xfId="0" applyNumberFormat="1" applyFont="1"/>
    <xf numFmtId="4" fontId="31" fillId="0" borderId="0" xfId="0" applyNumberFormat="1" applyFont="1"/>
    <xf numFmtId="164" fontId="32" fillId="0" borderId="0" xfId="0" applyNumberFormat="1" applyFont="1"/>
    <xf numFmtId="0" fontId="31" fillId="0" borderId="0" xfId="0" applyFont="1" applyAlignment="1">
      <alignment horizontal="left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164" fontId="31" fillId="0" borderId="0" xfId="0" applyNumberFormat="1" applyFont="1"/>
    <xf numFmtId="49" fontId="30" fillId="0" borderId="0" xfId="0" applyNumberFormat="1" applyFont="1" applyAlignment="1">
      <alignment horizontal="left"/>
    </xf>
    <xf numFmtId="0" fontId="30" fillId="26" borderId="11" xfId="35" applyFont="1" applyFill="1" applyBorder="1" applyAlignment="1">
      <alignment horizontal="left"/>
    </xf>
    <xf numFmtId="44" fontId="30" fillId="26" borderId="11" xfId="43" applyFont="1" applyFill="1" applyBorder="1" applyAlignment="1" applyProtection="1">
      <alignment horizontal="right"/>
    </xf>
    <xf numFmtId="44" fontId="30" fillId="26" borderId="11" xfId="43" applyFont="1" applyFill="1" applyBorder="1" applyAlignment="1" applyProtection="1"/>
    <xf numFmtId="0" fontId="30" fillId="0" borderId="10" xfId="35" applyFont="1" applyBorder="1" applyAlignment="1">
      <alignment horizontal="left"/>
    </xf>
    <xf numFmtId="0" fontId="30" fillId="26" borderId="10" xfId="35" applyFont="1" applyFill="1" applyBorder="1" applyAlignment="1">
      <alignment horizontal="left"/>
    </xf>
    <xf numFmtId="44" fontId="30" fillId="26" borderId="10" xfId="43" applyFont="1" applyFill="1" applyBorder="1" applyAlignment="1" applyProtection="1">
      <alignment horizontal="right" wrapText="1"/>
      <protection locked="0"/>
    </xf>
    <xf numFmtId="0" fontId="4" fillId="0" borderId="30" xfId="0" applyFont="1" applyBorder="1" applyAlignment="1">
      <alignment wrapText="1"/>
    </xf>
    <xf numFmtId="0" fontId="33" fillId="0" borderId="0" xfId="0" applyFont="1"/>
    <xf numFmtId="0" fontId="33" fillId="0" borderId="10" xfId="0" applyFont="1" applyBorder="1"/>
    <xf numFmtId="49" fontId="4" fillId="0" borderId="0" xfId="0" applyNumberFormat="1" applyFont="1" applyAlignment="1">
      <alignment horizontal="left"/>
    </xf>
    <xf numFmtId="49" fontId="26" fillId="27" borderId="18" xfId="0" applyNumberFormat="1" applyFont="1" applyFill="1" applyBorder="1" applyAlignment="1">
      <alignment horizontal="left" wrapText="1"/>
    </xf>
    <xf numFmtId="49" fontId="26" fillId="27" borderId="38" xfId="0" applyNumberFormat="1" applyFont="1" applyFill="1" applyBorder="1" applyAlignment="1">
      <alignment horizontal="left" wrapText="1"/>
    </xf>
    <xf numFmtId="0" fontId="25" fillId="0" borderId="30" xfId="0" applyFont="1" applyBorder="1"/>
    <xf numFmtId="0" fontId="35" fillId="24" borderId="35" xfId="0" applyFont="1" applyFill="1" applyBorder="1" applyAlignment="1">
      <alignment horizontal="center" wrapText="1"/>
    </xf>
    <xf numFmtId="0" fontId="35" fillId="24" borderId="36" xfId="0" applyFont="1" applyFill="1" applyBorder="1" applyAlignment="1">
      <alignment horizontal="center" wrapText="1"/>
    </xf>
    <xf numFmtId="0" fontId="35" fillId="24" borderId="58" xfId="0" applyFont="1" applyFill="1" applyBorder="1" applyAlignment="1">
      <alignment horizontal="center" wrapText="1"/>
    </xf>
    <xf numFmtId="0" fontId="35" fillId="24" borderId="37" xfId="0" applyFont="1" applyFill="1" applyBorder="1" applyAlignment="1">
      <alignment horizontal="center" wrapText="1"/>
    </xf>
    <xf numFmtId="0" fontId="36" fillId="0" borderId="0" xfId="0" applyFont="1"/>
    <xf numFmtId="0" fontId="4" fillId="0" borderId="11" xfId="0" applyFont="1" applyBorder="1" applyAlignment="1">
      <alignment wrapText="1"/>
    </xf>
    <xf numFmtId="0" fontId="34" fillId="0" borderId="11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36" fillId="0" borderId="0" xfId="0" applyFont="1" applyAlignment="1">
      <alignment horizontal="center"/>
    </xf>
    <xf numFmtId="0" fontId="34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38" fillId="0" borderId="0" xfId="0" applyFont="1"/>
    <xf numFmtId="0" fontId="34" fillId="0" borderId="11" xfId="0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167" fontId="4" fillId="0" borderId="11" xfId="0" applyNumberFormat="1" applyFont="1" applyBorder="1" applyAlignment="1">
      <alignment horizontal="center" wrapText="1"/>
    </xf>
    <xf numFmtId="0" fontId="34" fillId="0" borderId="11" xfId="0" applyFont="1" applyBorder="1"/>
    <xf numFmtId="0" fontId="4" fillId="0" borderId="18" xfId="0" applyFont="1" applyBorder="1" applyAlignment="1">
      <alignment wrapText="1"/>
    </xf>
    <xf numFmtId="164" fontId="4" fillId="25" borderId="30" xfId="35" applyNumberFormat="1" applyFont="1" applyFill="1" applyBorder="1" applyAlignment="1">
      <alignment horizontal="center"/>
    </xf>
    <xf numFmtId="0" fontId="4" fillId="25" borderId="14" xfId="35" applyFont="1" applyFill="1" applyBorder="1" applyAlignment="1">
      <alignment horizontal="center" vertical="center" wrapText="1"/>
    </xf>
    <xf numFmtId="0" fontId="4" fillId="0" borderId="14" xfId="35" applyFont="1" applyFill="1" applyBorder="1" applyAlignment="1">
      <alignment wrapText="1"/>
    </xf>
    <xf numFmtId="167" fontId="4" fillId="0" borderId="14" xfId="35" applyNumberFormat="1" applyFont="1" applyFill="1" applyBorder="1" applyAlignment="1">
      <alignment horizontal="center"/>
    </xf>
    <xf numFmtId="0" fontId="4" fillId="0" borderId="14" xfId="35" applyFont="1" applyFill="1" applyBorder="1" applyAlignment="1">
      <alignment horizontal="center"/>
    </xf>
    <xf numFmtId="0" fontId="4" fillId="0" borderId="14" xfId="35" applyFont="1" applyFill="1" applyBorder="1" applyAlignment="1">
      <alignment horizontal="center" wrapText="1"/>
    </xf>
    <xf numFmtId="164" fontId="4" fillId="0" borderId="14" xfId="35" applyNumberFormat="1" applyFont="1" applyFill="1" applyBorder="1" applyAlignment="1">
      <alignment horizontal="center" wrapText="1"/>
    </xf>
    <xf numFmtId="164" fontId="4" fillId="0" borderId="14" xfId="35" applyNumberFormat="1" applyFont="1" applyFill="1" applyBorder="1"/>
    <xf numFmtId="164" fontId="4" fillId="0" borderId="14" xfId="35" applyNumberFormat="1" applyFont="1" applyFill="1" applyBorder="1" applyAlignment="1">
      <alignment horizontal="center"/>
    </xf>
    <xf numFmtId="0" fontId="4" fillId="0" borderId="59" xfId="0" applyFont="1" applyBorder="1" applyAlignment="1">
      <alignment wrapText="1"/>
    </xf>
    <xf numFmtId="0" fontId="4" fillId="25" borderId="60" xfId="35" applyFont="1" applyFill="1" applyBorder="1" applyAlignment="1">
      <alignment horizontal="center"/>
    </xf>
    <xf numFmtId="0" fontId="4" fillId="25" borderId="59" xfId="35" applyFont="1" applyFill="1" applyBorder="1" applyAlignment="1">
      <alignment horizontal="center"/>
    </xf>
    <xf numFmtId="0" fontId="4" fillId="25" borderId="59" xfId="35" applyFont="1" applyFill="1" applyBorder="1" applyAlignment="1">
      <alignment horizontal="center" wrapText="1"/>
    </xf>
    <xf numFmtId="0" fontId="4" fillId="25" borderId="59" xfId="35" applyFont="1" applyFill="1" applyBorder="1" applyAlignment="1">
      <alignment wrapText="1"/>
    </xf>
    <xf numFmtId="164" fontId="4" fillId="25" borderId="59" xfId="35" applyNumberFormat="1" applyFont="1" applyFill="1" applyBorder="1"/>
    <xf numFmtId="164" fontId="4" fillId="25" borderId="20" xfId="35" applyNumberFormat="1" applyFont="1" applyFill="1" applyBorder="1" applyAlignment="1">
      <alignment horizontal="center"/>
    </xf>
    <xf numFmtId="0" fontId="4" fillId="25" borderId="28" xfId="35" applyFont="1" applyFill="1" applyBorder="1" applyAlignment="1">
      <alignment horizontal="center"/>
    </xf>
    <xf numFmtId="0" fontId="4" fillId="25" borderId="10" xfId="35" applyFont="1" applyFill="1" applyBorder="1" applyAlignment="1">
      <alignment wrapText="1"/>
    </xf>
    <xf numFmtId="0" fontId="24" fillId="0" borderId="0" xfId="0" applyFont="1" applyFill="1" applyBorder="1"/>
    <xf numFmtId="0" fontId="4" fillId="0" borderId="11" xfId="35" applyFont="1" applyFill="1" applyBorder="1" applyAlignment="1">
      <alignment horizontal="left" vertical="center"/>
    </xf>
    <xf numFmtId="44" fontId="4" fillId="0" borderId="11" xfId="43" applyFont="1" applyFill="1" applyBorder="1" applyAlignment="1" applyProtection="1">
      <alignment horizontal="center" vertical="center"/>
    </xf>
    <xf numFmtId="44" fontId="4" fillId="0" borderId="11" xfId="43" applyFont="1" applyFill="1" applyBorder="1" applyAlignment="1" applyProtection="1">
      <alignment horizontal="right" vertical="top" wrapText="1"/>
      <protection locked="0"/>
    </xf>
    <xf numFmtId="0" fontId="24" fillId="0" borderId="0" xfId="0" applyFont="1" applyBorder="1"/>
    <xf numFmtId="0" fontId="4" fillId="0" borderId="18" xfId="0" applyFont="1" applyFill="1" applyBorder="1" applyAlignment="1">
      <alignment wrapText="1"/>
    </xf>
    <xf numFmtId="0" fontId="4" fillId="25" borderId="18" xfId="35" applyFont="1" applyFill="1" applyBorder="1" applyAlignment="1">
      <alignment wrapText="1"/>
    </xf>
    <xf numFmtId="0" fontId="4" fillId="25" borderId="14" xfId="35" applyFont="1" applyFill="1" applyBorder="1" applyAlignment="1">
      <alignment horizontal="center" wrapText="1"/>
    </xf>
    <xf numFmtId="164" fontId="4" fillId="25" borderId="14" xfId="35" applyNumberFormat="1" applyFont="1" applyFill="1" applyBorder="1"/>
    <xf numFmtId="164" fontId="4" fillId="25" borderId="17" xfId="35" applyNumberFormat="1" applyFont="1" applyFill="1" applyBorder="1" applyAlignment="1">
      <alignment horizontal="center"/>
    </xf>
    <xf numFmtId="0" fontId="4" fillId="25" borderId="30" xfId="35" applyFont="1" applyFill="1" applyBorder="1" applyAlignment="1">
      <alignment horizontal="left" wrapText="1"/>
    </xf>
    <xf numFmtId="0" fontId="4" fillId="25" borderId="10" xfId="35" applyFont="1" applyFill="1" applyBorder="1" applyAlignment="1">
      <alignment horizontal="left" wrapText="1"/>
    </xf>
    <xf numFmtId="164" fontId="4" fillId="25" borderId="10" xfId="35" applyNumberFormat="1" applyFont="1" applyFill="1" applyBorder="1" applyAlignment="1">
      <alignment horizontal="center"/>
    </xf>
    <xf numFmtId="164" fontId="4" fillId="25" borderId="14" xfId="35" applyNumberFormat="1" applyFont="1" applyFill="1" applyBorder="1" applyAlignment="1">
      <alignment horizontal="center"/>
    </xf>
    <xf numFmtId="0" fontId="2" fillId="0" borderId="24" xfId="35" applyFont="1" applyBorder="1" applyAlignment="1">
      <alignment vertical="top"/>
    </xf>
    <xf numFmtId="0" fontId="2" fillId="0" borderId="25" xfId="35" applyFont="1" applyBorder="1" applyAlignment="1">
      <alignment vertical="top"/>
    </xf>
    <xf numFmtId="44" fontId="2" fillId="0" borderId="27" xfId="43" applyFont="1" applyBorder="1" applyAlignment="1">
      <alignment vertical="top"/>
    </xf>
    <xf numFmtId="0" fontId="2" fillId="20" borderId="10" xfId="35" applyFont="1" applyFill="1" applyBorder="1" applyAlignment="1">
      <alignment horizontal="center" vertical="center"/>
    </xf>
    <xf numFmtId="44" fontId="2" fillId="20" borderId="10" xfId="43" applyFont="1" applyFill="1" applyBorder="1" applyAlignment="1" applyProtection="1">
      <alignment horizontal="center" vertical="center"/>
    </xf>
    <xf numFmtId="0" fontId="4" fillId="0" borderId="10" xfId="35" applyFont="1" applyBorder="1" applyAlignment="1">
      <alignment horizontal="left"/>
    </xf>
    <xf numFmtId="44" fontId="4" fillId="0" borderId="10" xfId="43" applyFont="1" applyFill="1" applyBorder="1" applyAlignment="1" applyProtection="1">
      <alignment horizontal="right" wrapText="1"/>
      <protection locked="0"/>
    </xf>
    <xf numFmtId="44" fontId="4" fillId="0" borderId="10" xfId="43" applyFont="1" applyBorder="1"/>
    <xf numFmtId="0" fontId="2" fillId="0" borderId="0" xfId="0" applyFont="1"/>
    <xf numFmtId="44" fontId="4" fillId="0" borderId="0" xfId="43" applyFont="1"/>
    <xf numFmtId="0" fontId="4" fillId="25" borderId="18" xfId="35" applyFont="1" applyFill="1" applyBorder="1" applyAlignment="1">
      <alignment horizontal="left" wrapText="1"/>
    </xf>
    <xf numFmtId="164" fontId="4" fillId="25" borderId="18" xfId="35" applyNumberFormat="1" applyFont="1" applyFill="1" applyBorder="1" applyAlignment="1">
      <alignment horizontal="center"/>
    </xf>
    <xf numFmtId="0" fontId="4" fillId="25" borderId="30" xfId="35" applyFont="1" applyFill="1" applyBorder="1" applyAlignment="1">
      <alignment wrapText="1"/>
    </xf>
    <xf numFmtId="0" fontId="4" fillId="25" borderId="30" xfId="35" applyFont="1" applyFill="1" applyBorder="1" applyAlignment="1">
      <alignment horizontal="center" vertical="center"/>
    </xf>
    <xf numFmtId="0" fontId="4" fillId="25" borderId="10" xfId="35" applyFont="1" applyFill="1" applyBorder="1" applyAlignment="1">
      <alignment horizontal="center" vertical="center"/>
    </xf>
    <xf numFmtId="0" fontId="4" fillId="25" borderId="14" xfId="35" applyFont="1" applyFill="1" applyBorder="1" applyAlignment="1">
      <alignment wrapText="1"/>
    </xf>
    <xf numFmtId="0" fontId="4" fillId="25" borderId="14" xfId="35" applyFont="1" applyFill="1" applyBorder="1" applyAlignment="1">
      <alignment horizontal="center" vertical="center"/>
    </xf>
    <xf numFmtId="0" fontId="4" fillId="25" borderId="14" xfId="35" applyFont="1" applyFill="1" applyBorder="1" applyAlignment="1">
      <alignment horizontal="center"/>
    </xf>
    <xf numFmtId="164" fontId="4" fillId="25" borderId="14" xfId="35" applyNumberFormat="1" applyFont="1" applyFill="1" applyBorder="1" applyAlignment="1">
      <alignment horizontal="center" wrapText="1"/>
    </xf>
    <xf numFmtId="0" fontId="4" fillId="0" borderId="63" xfId="0" applyFont="1" applyFill="1" applyBorder="1" applyAlignment="1">
      <alignment horizontal="left" wrapText="1"/>
    </xf>
    <xf numFmtId="164" fontId="4" fillId="25" borderId="59" xfId="35" applyNumberFormat="1" applyFont="1" applyFill="1" applyBorder="1" applyAlignment="1">
      <alignment horizontal="center" wrapText="1"/>
    </xf>
    <xf numFmtId="0" fontId="4" fillId="25" borderId="59" xfId="35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wrapText="1"/>
    </xf>
    <xf numFmtId="0" fontId="4" fillId="0" borderId="22" xfId="0" applyFont="1" applyFill="1" applyBorder="1" applyAlignment="1">
      <alignment horizontal="left" wrapText="1"/>
    </xf>
    <xf numFmtId="0" fontId="4" fillId="25" borderId="10" xfId="35" applyFont="1" applyFill="1" applyBorder="1" applyAlignment="1">
      <alignment horizontal="center" vertical="center" wrapText="1"/>
    </xf>
    <xf numFmtId="164" fontId="4" fillId="25" borderId="46" xfId="35" applyNumberFormat="1" applyFont="1" applyFill="1" applyBorder="1" applyAlignment="1">
      <alignment horizontal="center" wrapText="1"/>
    </xf>
    <xf numFmtId="0" fontId="4" fillId="25" borderId="18" xfId="35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left" wrapText="1"/>
    </xf>
    <xf numFmtId="0" fontId="34" fillId="0" borderId="11" xfId="0" quotePrefix="1" applyFont="1" applyBorder="1" applyAlignment="1">
      <alignment horizontal="center" vertical="center" wrapText="1"/>
    </xf>
    <xf numFmtId="167" fontId="23" fillId="0" borderId="0" xfId="0" applyNumberFormat="1" applyFont="1"/>
    <xf numFmtId="0" fontId="4" fillId="25" borderId="49" xfId="35" applyFont="1" applyFill="1" applyBorder="1" applyAlignment="1">
      <alignment horizontal="center"/>
    </xf>
    <xf numFmtId="0" fontId="4" fillId="0" borderId="59" xfId="0" applyFont="1" applyFill="1" applyBorder="1" applyAlignment="1">
      <alignment wrapText="1"/>
    </xf>
    <xf numFmtId="0" fontId="4" fillId="25" borderId="65" xfId="35" applyFont="1" applyFill="1" applyBorder="1" applyAlignment="1">
      <alignment horizontal="center" vertical="center" wrapText="1"/>
    </xf>
    <xf numFmtId="0" fontId="4" fillId="25" borderId="66" xfId="35" applyFont="1" applyFill="1" applyBorder="1" applyAlignment="1">
      <alignment horizontal="left" vertical="center" wrapText="1"/>
    </xf>
    <xf numFmtId="0" fontId="4" fillId="0" borderId="15" xfId="0" applyFont="1" applyBorder="1" applyAlignment="1">
      <alignment wrapText="1"/>
    </xf>
    <xf numFmtId="0" fontId="4" fillId="25" borderId="15" xfId="35" applyFont="1" applyFill="1" applyBorder="1" applyAlignment="1">
      <alignment horizontal="center"/>
    </xf>
    <xf numFmtId="0" fontId="4" fillId="25" borderId="15" xfId="35" applyFont="1" applyFill="1" applyBorder="1" applyAlignment="1">
      <alignment horizontal="center" wrapText="1"/>
    </xf>
    <xf numFmtId="164" fontId="4" fillId="25" borderId="15" xfId="35" applyNumberFormat="1" applyFont="1" applyFill="1" applyBorder="1" applyAlignment="1">
      <alignment horizontal="center" wrapText="1"/>
    </xf>
    <xf numFmtId="0" fontId="4" fillId="25" borderId="15" xfId="35" applyFont="1" applyFill="1" applyBorder="1" applyAlignment="1">
      <alignment wrapText="1"/>
    </xf>
    <xf numFmtId="164" fontId="4" fillId="25" borderId="15" xfId="35" applyNumberFormat="1" applyFont="1" applyFill="1" applyBorder="1"/>
    <xf numFmtId="164" fontId="4" fillId="25" borderId="67" xfId="35" applyNumberFormat="1" applyFont="1" applyFill="1" applyBorder="1" applyAlignment="1">
      <alignment horizontal="center"/>
    </xf>
    <xf numFmtId="0" fontId="33" fillId="0" borderId="69" xfId="0" applyFont="1" applyBorder="1" applyAlignment="1">
      <alignment wrapText="1"/>
    </xf>
    <xf numFmtId="0" fontId="33" fillId="0" borderId="70" xfId="0" applyFont="1" applyBorder="1" applyAlignment="1">
      <alignment wrapText="1"/>
    </xf>
    <xf numFmtId="0" fontId="33" fillId="0" borderId="71" xfId="0" applyFont="1" applyBorder="1" applyAlignment="1">
      <alignment wrapText="1"/>
    </xf>
    <xf numFmtId="0" fontId="4" fillId="0" borderId="59" xfId="0" applyFont="1" applyFill="1" applyBorder="1" applyAlignment="1">
      <alignment horizontal="left" wrapText="1"/>
    </xf>
    <xf numFmtId="0" fontId="4" fillId="29" borderId="10" xfId="0" applyFont="1" applyFill="1" applyBorder="1" applyAlignment="1">
      <alignment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167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2" fillId="20" borderId="41" xfId="35" applyFont="1" applyFill="1" applyBorder="1" applyAlignment="1">
      <alignment horizontal="left" vertical="center" wrapText="1"/>
    </xf>
    <xf numFmtId="0" fontId="2" fillId="20" borderId="34" xfId="35" applyFont="1" applyFill="1" applyBorder="1" applyAlignment="1">
      <alignment horizontal="left" vertical="center" wrapText="1"/>
    </xf>
    <xf numFmtId="0" fontId="4" fillId="25" borderId="30" xfId="35" applyFont="1" applyFill="1" applyBorder="1" applyAlignment="1">
      <alignment horizontal="center" vertical="center" wrapText="1"/>
    </xf>
    <xf numFmtId="0" fontId="4" fillId="25" borderId="14" xfId="35" applyFont="1" applyFill="1" applyBorder="1" applyAlignment="1">
      <alignment horizontal="center" vertical="center" wrapText="1"/>
    </xf>
    <xf numFmtId="0" fontId="4" fillId="25" borderId="32" xfId="35" applyFont="1" applyFill="1" applyBorder="1" applyAlignment="1">
      <alignment horizontal="center" vertical="center" wrapText="1"/>
    </xf>
    <xf numFmtId="0" fontId="4" fillId="25" borderId="33" xfId="35" applyFont="1" applyFill="1" applyBorder="1" applyAlignment="1">
      <alignment horizontal="center" vertical="center" wrapText="1"/>
    </xf>
    <xf numFmtId="164" fontId="2" fillId="20" borderId="18" xfId="44" applyNumberFormat="1" applyFont="1" applyFill="1" applyBorder="1" applyAlignment="1" applyProtection="1">
      <alignment horizontal="center" vertical="center" wrapText="1"/>
    </xf>
    <xf numFmtId="0" fontId="2" fillId="20" borderId="39" xfId="35" applyFont="1" applyFill="1" applyBorder="1" applyAlignment="1">
      <alignment horizontal="center" vertical="center" wrapText="1"/>
    </xf>
    <xf numFmtId="0" fontId="2" fillId="20" borderId="42" xfId="35" applyFont="1" applyFill="1" applyBorder="1" applyAlignment="1">
      <alignment horizontal="center" vertical="center" wrapText="1"/>
    </xf>
    <xf numFmtId="0" fontId="4" fillId="25" borderId="48" xfId="35" applyFont="1" applyFill="1" applyBorder="1" applyAlignment="1">
      <alignment horizontal="center" vertical="center" wrapText="1"/>
    </xf>
    <xf numFmtId="0" fontId="4" fillId="25" borderId="42" xfId="35" applyFont="1" applyFill="1" applyBorder="1" applyAlignment="1">
      <alignment horizontal="center" vertical="center" wrapText="1"/>
    </xf>
    <xf numFmtId="0" fontId="4" fillId="25" borderId="30" xfId="35" applyFont="1" applyFill="1" applyBorder="1" applyAlignment="1">
      <alignment horizontal="left" vertical="center" wrapText="1"/>
    </xf>
    <xf numFmtId="0" fontId="4" fillId="25" borderId="10" xfId="35" applyFont="1" applyFill="1" applyBorder="1" applyAlignment="1">
      <alignment horizontal="left" vertical="center" wrapText="1"/>
    </xf>
    <xf numFmtId="0" fontId="4" fillId="25" borderId="18" xfId="35" applyFont="1" applyFill="1" applyBorder="1" applyAlignment="1">
      <alignment horizontal="left" vertical="center" wrapText="1"/>
    </xf>
    <xf numFmtId="0" fontId="4" fillId="25" borderId="10" xfId="35" applyFont="1" applyFill="1" applyBorder="1" applyAlignment="1">
      <alignment horizontal="center" vertical="center" wrapText="1"/>
    </xf>
    <xf numFmtId="0" fontId="4" fillId="25" borderId="43" xfId="35" applyFont="1" applyFill="1" applyBorder="1" applyAlignment="1">
      <alignment horizontal="center" vertical="center" wrapText="1"/>
    </xf>
    <xf numFmtId="0" fontId="4" fillId="25" borderId="51" xfId="35" applyFont="1" applyFill="1" applyBorder="1" applyAlignment="1">
      <alignment horizontal="center" vertical="center" wrapText="1"/>
    </xf>
    <xf numFmtId="0" fontId="4" fillId="25" borderId="59" xfId="35" applyFont="1" applyFill="1" applyBorder="1" applyAlignment="1">
      <alignment horizontal="left" vertical="center" wrapText="1"/>
    </xf>
    <xf numFmtId="0" fontId="4" fillId="25" borderId="14" xfId="35" applyFont="1" applyFill="1" applyBorder="1" applyAlignment="1">
      <alignment horizontal="left" vertical="center" wrapText="1"/>
    </xf>
    <xf numFmtId="164" fontId="2" fillId="20" borderId="30" xfId="44" applyNumberFormat="1" applyFont="1" applyFill="1" applyBorder="1" applyAlignment="1" applyProtection="1">
      <alignment horizontal="center" vertical="center" wrapText="1"/>
    </xf>
    <xf numFmtId="0" fontId="2" fillId="20" borderId="41" xfId="35" applyFont="1" applyFill="1" applyBorder="1" applyAlignment="1">
      <alignment horizontal="center" vertical="center" wrapText="1"/>
    </xf>
    <xf numFmtId="0" fontId="2" fillId="20" borderId="34" xfId="35" applyFont="1" applyFill="1" applyBorder="1" applyAlignment="1">
      <alignment horizontal="center" vertical="center" wrapText="1"/>
    </xf>
    <xf numFmtId="0" fontId="4" fillId="25" borderId="52" xfId="35" applyFont="1" applyFill="1" applyBorder="1" applyAlignment="1">
      <alignment horizontal="center" vertical="center" wrapText="1"/>
    </xf>
    <xf numFmtId="0" fontId="4" fillId="25" borderId="53" xfId="35" applyFont="1" applyFill="1" applyBorder="1" applyAlignment="1">
      <alignment horizontal="center" vertical="center" wrapText="1"/>
    </xf>
    <xf numFmtId="0" fontId="4" fillId="25" borderId="62" xfId="35" applyFont="1" applyFill="1" applyBorder="1" applyAlignment="1">
      <alignment horizontal="center" vertical="center" wrapText="1"/>
    </xf>
    <xf numFmtId="0" fontId="4" fillId="25" borderId="13" xfId="35" applyFont="1" applyFill="1" applyBorder="1" applyAlignment="1">
      <alignment horizontal="left" vertical="center" wrapText="1"/>
    </xf>
    <xf numFmtId="0" fontId="4" fillId="25" borderId="12" xfId="35" applyFont="1" applyFill="1" applyBorder="1" applyAlignment="1">
      <alignment horizontal="left" vertical="center" wrapText="1"/>
    </xf>
    <xf numFmtId="0" fontId="2" fillId="20" borderId="30" xfId="35" applyFont="1" applyFill="1" applyBorder="1" applyAlignment="1">
      <alignment horizontal="center" vertical="center" wrapText="1"/>
    </xf>
    <xf numFmtId="4" fontId="2" fillId="20" borderId="30" xfId="35" applyNumberFormat="1" applyFont="1" applyFill="1" applyBorder="1" applyAlignment="1">
      <alignment horizontal="center" vertical="center" wrapText="1"/>
    </xf>
    <xf numFmtId="0" fontId="2" fillId="20" borderId="18" xfId="35" applyFont="1" applyFill="1" applyBorder="1" applyAlignment="1">
      <alignment horizontal="center" vertical="center" wrapText="1"/>
    </xf>
    <xf numFmtId="0" fontId="4" fillId="0" borderId="29" xfId="35" applyFont="1" applyBorder="1" applyAlignment="1">
      <alignment horizontal="left" vertical="top" wrapText="1"/>
    </xf>
    <xf numFmtId="0" fontId="4" fillId="0" borderId="28" xfId="35" applyFont="1" applyBorder="1" applyAlignment="1">
      <alignment horizontal="left" vertical="top" wrapText="1"/>
    </xf>
    <xf numFmtId="0" fontId="2" fillId="20" borderId="10" xfId="35" applyFont="1" applyFill="1" applyBorder="1" applyAlignment="1">
      <alignment horizontal="center" vertical="center"/>
    </xf>
    <xf numFmtId="0" fontId="4" fillId="0" borderId="10" xfId="35" applyFont="1" applyBorder="1" applyAlignment="1">
      <alignment vertical="top" wrapText="1"/>
    </xf>
    <xf numFmtId="0" fontId="4" fillId="0" borderId="29" xfId="35" applyFont="1" applyBorder="1" applyAlignment="1">
      <alignment vertical="top" wrapText="1"/>
    </xf>
    <xf numFmtId="0" fontId="33" fillId="0" borderId="28" xfId="0" applyFont="1" applyBorder="1" applyAlignment="1">
      <alignment vertical="top" wrapText="1"/>
    </xf>
    <xf numFmtId="0" fontId="4" fillId="0" borderId="11" xfId="35" applyFont="1" applyBorder="1" applyAlignment="1">
      <alignment vertical="top" wrapText="1"/>
    </xf>
    <xf numFmtId="0" fontId="2" fillId="20" borderId="11" xfId="35" applyFont="1" applyFill="1" applyBorder="1" applyAlignment="1">
      <alignment horizontal="center" vertical="center"/>
    </xf>
    <xf numFmtId="0" fontId="30" fillId="26" borderId="22" xfId="35" applyFont="1" applyFill="1" applyBorder="1" applyAlignment="1">
      <alignment horizontal="left"/>
    </xf>
    <xf numFmtId="0" fontId="30" fillId="26" borderId="26" xfId="35" applyFont="1" applyFill="1" applyBorder="1" applyAlignment="1">
      <alignment horizontal="left"/>
    </xf>
    <xf numFmtId="0" fontId="30" fillId="26" borderId="10" xfId="35" applyFont="1" applyFill="1" applyBorder="1" applyAlignment="1">
      <alignment vertical="top" wrapText="1"/>
    </xf>
    <xf numFmtId="0" fontId="4" fillId="0" borderId="22" xfId="35" applyFont="1" applyBorder="1" applyAlignment="1">
      <alignment vertical="top" wrapText="1"/>
    </xf>
    <xf numFmtId="0" fontId="4" fillId="0" borderId="26" xfId="35" applyFont="1" applyBorder="1" applyAlignment="1">
      <alignment vertical="top" wrapText="1"/>
    </xf>
    <xf numFmtId="0" fontId="33" fillId="0" borderId="26" xfId="0" applyFont="1" applyBorder="1" applyAlignment="1">
      <alignment vertical="top" wrapText="1"/>
    </xf>
    <xf numFmtId="0" fontId="4" fillId="0" borderId="22" xfId="35" applyFont="1" applyBorder="1" applyAlignment="1">
      <alignment horizontal="left" vertical="top" wrapText="1"/>
    </xf>
    <xf numFmtId="0" fontId="33" fillId="0" borderId="26" xfId="0" applyFont="1" applyBorder="1" applyAlignment="1">
      <alignment horizontal="left" vertical="top" wrapText="1"/>
    </xf>
    <xf numFmtId="0" fontId="4" fillId="0" borderId="10" xfId="35" applyFont="1" applyBorder="1" applyAlignment="1">
      <alignment horizontal="left" vertical="top" wrapText="1"/>
    </xf>
    <xf numFmtId="0" fontId="33" fillId="0" borderId="28" xfId="0" applyFont="1" applyBorder="1" applyAlignment="1">
      <alignment horizontal="left" vertical="top" wrapText="1"/>
    </xf>
    <xf numFmtId="0" fontId="4" fillId="0" borderId="28" xfId="35" applyFont="1" applyBorder="1" applyAlignment="1">
      <alignment vertical="top" wrapText="1"/>
    </xf>
    <xf numFmtId="0" fontId="4" fillId="0" borderId="22" xfId="35" applyFont="1" applyFill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wrapText="1"/>
    </xf>
    <xf numFmtId="0" fontId="0" fillId="0" borderId="43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2" fillId="0" borderId="15" xfId="0" applyFont="1" applyBorder="1" applyAlignment="1">
      <alignment horizontal="center" wrapText="1"/>
    </xf>
    <xf numFmtId="0" fontId="29" fillId="0" borderId="15" xfId="0" applyFont="1" applyBorder="1" applyAlignment="1">
      <alignment horizontal="center" wrapText="1"/>
    </xf>
    <xf numFmtId="0" fontId="29" fillId="0" borderId="44" xfId="0" applyFont="1" applyBorder="1" applyAlignment="1">
      <alignment horizontal="center" wrapText="1"/>
    </xf>
    <xf numFmtId="0" fontId="4" fillId="0" borderId="34" xfId="0" applyFont="1" applyBorder="1" applyAlignment="1">
      <alignment horizontal="left" wrapText="1"/>
    </xf>
    <xf numFmtId="0" fontId="4" fillId="0" borderId="34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4" fillId="0" borderId="39" xfId="0" applyFont="1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4" fillId="0" borderId="3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40" fillId="25" borderId="50" xfId="35" applyNumberFormat="1" applyFont="1" applyFill="1" applyBorder="1"/>
    <xf numFmtId="164" fontId="40" fillId="25" borderId="30" xfId="35" applyNumberFormat="1" applyFont="1" applyFill="1" applyBorder="1"/>
    <xf numFmtId="165" fontId="40" fillId="25" borderId="26" xfId="0" applyNumberFormat="1" applyFont="1" applyFill="1" applyBorder="1"/>
    <xf numFmtId="0" fontId="40" fillId="25" borderId="28" xfId="35" applyNumberFormat="1" applyFont="1" applyFill="1" applyBorder="1"/>
    <xf numFmtId="164" fontId="40" fillId="25" borderId="10" xfId="35" applyNumberFormat="1" applyFont="1" applyFill="1" applyBorder="1"/>
    <xf numFmtId="165" fontId="40" fillId="25" borderId="54" xfId="0" applyNumberFormat="1" applyFont="1" applyFill="1" applyBorder="1"/>
    <xf numFmtId="165" fontId="40" fillId="25" borderId="16" xfId="35" applyNumberFormat="1" applyFont="1" applyFill="1" applyBorder="1"/>
    <xf numFmtId="0" fontId="40" fillId="25" borderId="49" xfId="35" applyNumberFormat="1" applyFont="1" applyFill="1" applyBorder="1"/>
    <xf numFmtId="164" fontId="40" fillId="25" borderId="18" xfId="35" applyNumberFormat="1" applyFont="1" applyFill="1" applyBorder="1"/>
    <xf numFmtId="165" fontId="40" fillId="25" borderId="38" xfId="35" applyNumberFormat="1" applyFont="1" applyFill="1" applyBorder="1"/>
    <xf numFmtId="0" fontId="40" fillId="25" borderId="30" xfId="35" applyNumberFormat="1" applyFont="1" applyFill="1" applyBorder="1"/>
    <xf numFmtId="165" fontId="40" fillId="25" borderId="31" xfId="35" applyNumberFormat="1" applyFont="1" applyFill="1" applyBorder="1"/>
    <xf numFmtId="0" fontId="40" fillId="0" borderId="14" xfId="35" applyNumberFormat="1" applyFont="1" applyFill="1" applyBorder="1"/>
    <xf numFmtId="164" fontId="40" fillId="0" borderId="14" xfId="35" applyNumberFormat="1" applyFont="1" applyFill="1" applyBorder="1"/>
    <xf numFmtId="165" fontId="40" fillId="0" borderId="17" xfId="35" applyNumberFormat="1" applyFont="1" applyFill="1" applyBorder="1"/>
    <xf numFmtId="0" fontId="40" fillId="25" borderId="60" xfId="35" applyNumberFormat="1" applyFont="1" applyFill="1" applyBorder="1"/>
    <xf numFmtId="164" fontId="40" fillId="25" borderId="59" xfId="35" applyNumberFormat="1" applyFont="1" applyFill="1" applyBorder="1"/>
    <xf numFmtId="165" fontId="40" fillId="25" borderId="61" xfId="35" applyNumberFormat="1" applyFont="1" applyFill="1" applyBorder="1"/>
    <xf numFmtId="165" fontId="40" fillId="25" borderId="47" xfId="35" applyNumberFormat="1" applyFont="1" applyFill="1" applyBorder="1"/>
    <xf numFmtId="165" fontId="40" fillId="25" borderId="55" xfId="35" applyNumberFormat="1" applyFont="1" applyFill="1" applyBorder="1"/>
    <xf numFmtId="0" fontId="40" fillId="25" borderId="68" xfId="35" applyNumberFormat="1" applyFont="1" applyFill="1" applyBorder="1"/>
    <xf numFmtId="164" fontId="40" fillId="25" borderId="15" xfId="35" applyNumberFormat="1" applyFont="1" applyFill="1" applyBorder="1"/>
    <xf numFmtId="165" fontId="40" fillId="25" borderId="67" xfId="35" applyNumberFormat="1" applyFont="1" applyFill="1" applyBorder="1"/>
    <xf numFmtId="0" fontId="40" fillId="25" borderId="10" xfId="35" applyNumberFormat="1" applyFont="1" applyFill="1" applyBorder="1"/>
    <xf numFmtId="0" fontId="40" fillId="25" borderId="18" xfId="35" applyNumberFormat="1" applyFont="1" applyFill="1" applyBorder="1"/>
    <xf numFmtId="0" fontId="40" fillId="25" borderId="14" xfId="35" applyNumberFormat="1" applyFont="1" applyFill="1" applyBorder="1"/>
    <xf numFmtId="164" fontId="40" fillId="25" borderId="14" xfId="35" applyNumberFormat="1" applyFont="1" applyFill="1" applyBorder="1"/>
    <xf numFmtId="165" fontId="40" fillId="25" borderId="17" xfId="35" applyNumberFormat="1" applyFont="1" applyFill="1" applyBorder="1"/>
    <xf numFmtId="165" fontId="40" fillId="25" borderId="20" xfId="35" applyNumberFormat="1" applyFont="1" applyFill="1" applyBorder="1"/>
    <xf numFmtId="0" fontId="40" fillId="25" borderId="56" xfId="35" applyNumberFormat="1" applyFont="1" applyFill="1" applyBorder="1"/>
    <xf numFmtId="0" fontId="39" fillId="0" borderId="0" xfId="0" applyFont="1"/>
    <xf numFmtId="165" fontId="41" fillId="20" borderId="28" xfId="44" applyNumberFormat="1" applyFont="1" applyFill="1" applyBorder="1" applyAlignment="1" applyProtection="1">
      <alignment horizontal="center" vertical="center" wrapText="1"/>
    </xf>
    <xf numFmtId="164" fontId="41" fillId="20" borderId="10" xfId="44" applyNumberFormat="1" applyFont="1" applyFill="1" applyBorder="1" applyAlignment="1" applyProtection="1">
      <alignment horizontal="center" vertical="center" wrapText="1"/>
    </xf>
    <xf numFmtId="165" fontId="41" fillId="20" borderId="16" xfId="44" applyNumberFormat="1" applyFont="1" applyFill="1" applyBorder="1" applyAlignment="1" applyProtection="1">
      <alignment horizontal="center" vertical="center" wrapText="1"/>
    </xf>
    <xf numFmtId="165" fontId="41" fillId="20" borderId="49" xfId="44" applyNumberFormat="1" applyFont="1" applyFill="1" applyBorder="1" applyAlignment="1" applyProtection="1">
      <alignment horizontal="center" vertical="center" wrapText="1"/>
    </xf>
    <xf numFmtId="164" fontId="41" fillId="20" borderId="18" xfId="44" applyNumberFormat="1" applyFont="1" applyFill="1" applyBorder="1" applyAlignment="1" applyProtection="1">
      <alignment horizontal="center" vertical="center" wrapText="1"/>
    </xf>
    <xf numFmtId="165" fontId="41" fillId="20" borderId="38" xfId="44" applyNumberFormat="1" applyFont="1" applyFill="1" applyBorder="1" applyAlignment="1" applyProtection="1">
      <alignment horizontal="center" vertical="center" wrapText="1"/>
    </xf>
    <xf numFmtId="0" fontId="34" fillId="29" borderId="11" xfId="0" applyFont="1" applyFill="1" applyBorder="1" applyAlignment="1">
      <alignment horizontal="center" vertical="center"/>
    </xf>
    <xf numFmtId="0" fontId="37" fillId="29" borderId="11" xfId="0" applyFont="1" applyFill="1" applyBorder="1" applyAlignment="1">
      <alignment horizontal="center" vertical="center"/>
    </xf>
    <xf numFmtId="0" fontId="4" fillId="29" borderId="11" xfId="0" applyFont="1" applyFill="1" applyBorder="1" applyAlignment="1">
      <alignment horizontal="center" wrapText="1"/>
    </xf>
    <xf numFmtId="0" fontId="4" fillId="29" borderId="11" xfId="0" applyFont="1" applyFill="1" applyBorder="1" applyAlignment="1">
      <alignment horizontal="center" vertical="center"/>
    </xf>
  </cellXfs>
  <cellStyles count="46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Obliczenia 2" xfId="36"/>
    <cellStyle name="Procentowy 2" xfId="37"/>
    <cellStyle name="Suma 2" xfId="38"/>
    <cellStyle name="Tekst objaśnienia 2" xfId="39"/>
    <cellStyle name="Tekst ostrzeżenia 2" xfId="40"/>
    <cellStyle name="Tytuł 2" xfId="41"/>
    <cellStyle name="Uwaga 2" xfId="42"/>
    <cellStyle name="Walutowy" xfId="43" builtinId="4"/>
    <cellStyle name="Walutowy 2" xfId="44"/>
    <cellStyle name="Złe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zoomScale="80" zoomScaleNormal="80" workbookViewId="0">
      <pane xSplit="5" ySplit="1" topLeftCell="I2" activePane="bottomRight" state="frozen"/>
      <selection pane="topRight" activeCell="F1" sqref="F1"/>
      <selection pane="bottomLeft" activeCell="A2" sqref="A2"/>
      <selection pane="bottomRight" activeCell="D5" sqref="D5"/>
    </sheetView>
  </sheetViews>
  <sheetFormatPr defaultRowHeight="15"/>
  <cols>
    <col min="2" max="2" width="16.5703125" style="53" customWidth="1"/>
    <col min="3" max="3" width="35.140625" customWidth="1"/>
    <col min="4" max="4" width="11.28515625" style="5" bestFit="1" customWidth="1"/>
    <col min="5" max="5" width="14.28515625" style="5" customWidth="1"/>
    <col min="6" max="6" width="15.140625" style="5" customWidth="1"/>
    <col min="7" max="7" width="13.42578125" style="5" customWidth="1"/>
    <col min="8" max="8" width="19.42578125" style="5" customWidth="1"/>
    <col min="9" max="9" width="8.7109375" style="45" customWidth="1"/>
    <col min="10" max="10" width="17" customWidth="1"/>
    <col min="11" max="11" width="16.7109375" bestFit="1" customWidth="1"/>
    <col min="12" max="12" width="15" style="5" customWidth="1"/>
    <col min="13" max="13" width="13.42578125" style="317" hidden="1" customWidth="1"/>
    <col min="14" max="15" width="14.85546875" style="317" hidden="1" customWidth="1"/>
    <col min="16" max="16" width="15.7109375" customWidth="1"/>
    <col min="17" max="17" width="17.28515625" style="32" customWidth="1"/>
    <col min="18" max="18" width="15.42578125" customWidth="1"/>
  </cols>
  <sheetData>
    <row r="1" spans="1:18" ht="47.25" customHeight="1">
      <c r="A1" s="222" t="s">
        <v>0</v>
      </c>
      <c r="B1" s="215" t="s">
        <v>1</v>
      </c>
      <c r="C1" s="242" t="s">
        <v>73</v>
      </c>
      <c r="D1" s="242" t="s">
        <v>2</v>
      </c>
      <c r="E1" s="243" t="s">
        <v>21</v>
      </c>
      <c r="F1" s="242" t="s">
        <v>3</v>
      </c>
      <c r="G1" s="242"/>
      <c r="H1" s="242"/>
      <c r="I1" s="242"/>
      <c r="J1" s="235" t="s">
        <v>22</v>
      </c>
      <c r="K1" s="234" t="s">
        <v>23</v>
      </c>
      <c r="L1" s="60" t="s">
        <v>49</v>
      </c>
      <c r="M1" s="318" t="s">
        <v>4</v>
      </c>
      <c r="N1" s="319" t="s">
        <v>5</v>
      </c>
      <c r="O1" s="320" t="s">
        <v>6</v>
      </c>
      <c r="P1" s="85"/>
      <c r="Q1" s="86"/>
      <c r="R1" s="85"/>
    </row>
    <row r="2" spans="1:18" ht="27" thickBot="1">
      <c r="A2" s="223"/>
      <c r="B2" s="216"/>
      <c r="C2" s="244"/>
      <c r="D2" s="244"/>
      <c r="E2" s="244"/>
      <c r="F2" s="35" t="s">
        <v>7</v>
      </c>
      <c r="G2" s="36" t="s">
        <v>8</v>
      </c>
      <c r="H2" s="35" t="s">
        <v>9</v>
      </c>
      <c r="I2" s="35" t="s">
        <v>10</v>
      </c>
      <c r="J2" s="236"/>
      <c r="K2" s="221"/>
      <c r="L2" s="61"/>
      <c r="M2" s="321"/>
      <c r="N2" s="322"/>
      <c r="O2" s="323"/>
      <c r="P2" s="85"/>
      <c r="Q2" s="86"/>
      <c r="R2" s="85"/>
    </row>
    <row r="3" spans="1:18" ht="39">
      <c r="A3" s="219" t="s">
        <v>11</v>
      </c>
      <c r="B3" s="226" t="s">
        <v>57</v>
      </c>
      <c r="C3" s="106" t="s">
        <v>90</v>
      </c>
      <c r="D3" s="56">
        <v>1910</v>
      </c>
      <c r="E3" s="56">
        <v>220</v>
      </c>
      <c r="F3" s="57" t="s">
        <v>70</v>
      </c>
      <c r="G3" s="58" t="s">
        <v>70</v>
      </c>
      <c r="H3" s="58" t="s">
        <v>17</v>
      </c>
      <c r="I3" s="57" t="s">
        <v>100</v>
      </c>
      <c r="J3" s="57" t="s">
        <v>125</v>
      </c>
      <c r="K3" s="59">
        <f>IF(N3&gt;O3,N3,O3)</f>
        <v>368541.39</v>
      </c>
      <c r="L3" s="62" t="s">
        <v>242</v>
      </c>
      <c r="M3" s="287">
        <v>1000</v>
      </c>
      <c r="N3" s="288">
        <f t="shared" ref="N3:N26" si="0">M3*E3</f>
        <v>220000</v>
      </c>
      <c r="O3" s="289">
        <v>368541.39</v>
      </c>
      <c r="P3" s="107" t="s">
        <v>46</v>
      </c>
      <c r="Q3" s="86"/>
      <c r="R3" s="85"/>
    </row>
    <row r="4" spans="1:18" ht="64.5">
      <c r="A4" s="224"/>
      <c r="B4" s="227"/>
      <c r="C4" s="43" t="s">
        <v>91</v>
      </c>
      <c r="D4" s="13">
        <v>1967</v>
      </c>
      <c r="E4" s="13">
        <v>612</v>
      </c>
      <c r="F4" s="10" t="s">
        <v>99</v>
      </c>
      <c r="G4" s="11" t="s">
        <v>101</v>
      </c>
      <c r="H4" s="11" t="s">
        <v>101</v>
      </c>
      <c r="I4" s="10" t="s">
        <v>100</v>
      </c>
      <c r="J4" s="10" t="s">
        <v>126</v>
      </c>
      <c r="K4" s="12">
        <f t="shared" ref="K4:K23" si="1">IF(N4&gt;O4,N4,O4)</f>
        <v>1530000</v>
      </c>
      <c r="L4" s="63" t="s">
        <v>241</v>
      </c>
      <c r="M4" s="290">
        <v>2500</v>
      </c>
      <c r="N4" s="291">
        <f t="shared" si="0"/>
        <v>1530000</v>
      </c>
      <c r="O4" s="292">
        <v>749443.58</v>
      </c>
      <c r="P4" s="107" t="s">
        <v>46</v>
      </c>
      <c r="Q4" s="86"/>
      <c r="R4" s="85"/>
    </row>
    <row r="5" spans="1:18" ht="39">
      <c r="A5" s="224"/>
      <c r="B5" s="227"/>
      <c r="C5" s="43" t="s">
        <v>92</v>
      </c>
      <c r="D5" s="13">
        <v>1997</v>
      </c>
      <c r="E5" s="13">
        <v>830</v>
      </c>
      <c r="F5" s="10" t="s">
        <v>99</v>
      </c>
      <c r="G5" s="11" t="s">
        <v>17</v>
      </c>
      <c r="H5" s="11" t="s">
        <v>102</v>
      </c>
      <c r="I5" s="10" t="s">
        <v>67</v>
      </c>
      <c r="J5" s="10" t="s">
        <v>127</v>
      </c>
      <c r="K5" s="12">
        <f t="shared" si="1"/>
        <v>167795.42</v>
      </c>
      <c r="L5" s="63" t="s">
        <v>242</v>
      </c>
      <c r="M5" s="290"/>
      <c r="N5" s="291">
        <f t="shared" si="0"/>
        <v>0</v>
      </c>
      <c r="O5" s="289">
        <v>167795.42</v>
      </c>
      <c r="P5" s="107" t="s">
        <v>46</v>
      </c>
      <c r="Q5" s="86"/>
      <c r="R5" s="85"/>
    </row>
    <row r="6" spans="1:18" ht="26.25">
      <c r="A6" s="224"/>
      <c r="B6" s="227"/>
      <c r="C6" s="43" t="s">
        <v>93</v>
      </c>
      <c r="D6" s="13">
        <v>2001</v>
      </c>
      <c r="E6" s="13">
        <v>440</v>
      </c>
      <c r="F6" s="10" t="s">
        <v>99</v>
      </c>
      <c r="G6" s="11" t="s">
        <v>101</v>
      </c>
      <c r="H6" s="11" t="s">
        <v>17</v>
      </c>
      <c r="I6" s="10" t="s">
        <v>74</v>
      </c>
      <c r="J6" s="10" t="s">
        <v>128</v>
      </c>
      <c r="K6" s="12">
        <f t="shared" si="1"/>
        <v>1100000</v>
      </c>
      <c r="L6" s="63" t="s">
        <v>241</v>
      </c>
      <c r="M6" s="290">
        <v>2500</v>
      </c>
      <c r="N6" s="291">
        <f t="shared" si="0"/>
        <v>1100000</v>
      </c>
      <c r="O6" s="289">
        <v>105596.46</v>
      </c>
      <c r="P6" s="107" t="s">
        <v>46</v>
      </c>
      <c r="Q6" s="86"/>
      <c r="R6" s="85"/>
    </row>
    <row r="7" spans="1:18" ht="26.25" customHeight="1">
      <c r="A7" s="224"/>
      <c r="B7" s="227"/>
      <c r="C7" s="43" t="s">
        <v>94</v>
      </c>
      <c r="D7" s="13">
        <v>2001</v>
      </c>
      <c r="E7" s="13">
        <v>546</v>
      </c>
      <c r="F7" s="10" t="s">
        <v>65</v>
      </c>
      <c r="G7" s="11" t="s">
        <v>101</v>
      </c>
      <c r="H7" s="11" t="s">
        <v>17</v>
      </c>
      <c r="I7" s="10" t="s">
        <v>74</v>
      </c>
      <c r="J7" s="10" t="s">
        <v>129</v>
      </c>
      <c r="K7" s="12">
        <f t="shared" si="1"/>
        <v>1365000</v>
      </c>
      <c r="L7" s="63" t="s">
        <v>241</v>
      </c>
      <c r="M7" s="290">
        <v>2500</v>
      </c>
      <c r="N7" s="291">
        <f t="shared" si="0"/>
        <v>1365000</v>
      </c>
      <c r="O7" s="289">
        <v>694796.13</v>
      </c>
      <c r="P7" s="107" t="s">
        <v>46</v>
      </c>
      <c r="Q7" s="86"/>
      <c r="R7" s="85"/>
    </row>
    <row r="8" spans="1:18" ht="51.75">
      <c r="A8" s="224"/>
      <c r="B8" s="227"/>
      <c r="C8" s="43" t="s">
        <v>95</v>
      </c>
      <c r="D8" s="13">
        <v>2005</v>
      </c>
      <c r="E8" s="13">
        <v>330</v>
      </c>
      <c r="F8" s="10" t="s">
        <v>99</v>
      </c>
      <c r="G8" s="11" t="s">
        <v>101</v>
      </c>
      <c r="H8" s="11" t="s">
        <v>101</v>
      </c>
      <c r="I8" s="10" t="s">
        <v>67</v>
      </c>
      <c r="J8" s="10" t="s">
        <v>130</v>
      </c>
      <c r="K8" s="12">
        <f t="shared" si="1"/>
        <v>825000</v>
      </c>
      <c r="L8" s="63" t="s">
        <v>241</v>
      </c>
      <c r="M8" s="290">
        <v>2500</v>
      </c>
      <c r="N8" s="291">
        <f t="shared" si="0"/>
        <v>825000</v>
      </c>
      <c r="O8" s="289">
        <v>157245.26999999999</v>
      </c>
      <c r="P8" s="107" t="s">
        <v>46</v>
      </c>
      <c r="Q8" s="86"/>
      <c r="R8" s="85"/>
    </row>
    <row r="9" spans="1:18">
      <c r="A9" s="224"/>
      <c r="B9" s="227"/>
      <c r="C9" s="43" t="s">
        <v>96</v>
      </c>
      <c r="D9" s="13">
        <v>2001</v>
      </c>
      <c r="E9" s="13">
        <v>45</v>
      </c>
      <c r="F9" s="10" t="s">
        <v>99</v>
      </c>
      <c r="G9" s="11" t="s">
        <v>17</v>
      </c>
      <c r="H9" s="11" t="s">
        <v>101</v>
      </c>
      <c r="I9" s="10" t="s">
        <v>74</v>
      </c>
      <c r="J9" s="10"/>
      <c r="K9" s="12">
        <f t="shared" si="1"/>
        <v>2749.69</v>
      </c>
      <c r="L9" s="63" t="s">
        <v>242</v>
      </c>
      <c r="M9" s="290"/>
      <c r="N9" s="291">
        <f t="shared" si="0"/>
        <v>0</v>
      </c>
      <c r="O9" s="289">
        <v>2749.69</v>
      </c>
      <c r="P9" s="107" t="s">
        <v>46</v>
      </c>
      <c r="Q9" s="86"/>
      <c r="R9" s="85"/>
    </row>
    <row r="10" spans="1:18" ht="26.25" customHeight="1">
      <c r="A10" s="224"/>
      <c r="B10" s="227"/>
      <c r="C10" s="43" t="s">
        <v>97</v>
      </c>
      <c r="D10" s="13">
        <v>2006</v>
      </c>
      <c r="E10" s="13">
        <v>440</v>
      </c>
      <c r="F10" s="10" t="s">
        <v>99</v>
      </c>
      <c r="G10" s="11" t="s">
        <v>17</v>
      </c>
      <c r="H10" s="11" t="s">
        <v>103</v>
      </c>
      <c r="I10" s="10" t="s">
        <v>67</v>
      </c>
      <c r="J10" s="10"/>
      <c r="K10" s="12">
        <f t="shared" si="1"/>
        <v>90000</v>
      </c>
      <c r="L10" s="63" t="s">
        <v>242</v>
      </c>
      <c r="M10" s="290"/>
      <c r="N10" s="291">
        <f t="shared" si="0"/>
        <v>0</v>
      </c>
      <c r="O10" s="289">
        <v>90000</v>
      </c>
      <c r="P10" s="107" t="s">
        <v>46</v>
      </c>
      <c r="Q10" s="86"/>
      <c r="R10" s="85"/>
    </row>
    <row r="11" spans="1:18" ht="26.25">
      <c r="A11" s="224"/>
      <c r="B11" s="227"/>
      <c r="C11" s="43" t="s">
        <v>98</v>
      </c>
      <c r="D11" s="13">
        <v>2006</v>
      </c>
      <c r="E11" s="13">
        <v>576</v>
      </c>
      <c r="F11" s="10" t="s">
        <v>99</v>
      </c>
      <c r="G11" s="11" t="s">
        <v>17</v>
      </c>
      <c r="H11" s="11" t="s">
        <v>101</v>
      </c>
      <c r="I11" s="10" t="s">
        <v>74</v>
      </c>
      <c r="J11" s="10"/>
      <c r="K11" s="12">
        <f t="shared" si="1"/>
        <v>51000</v>
      </c>
      <c r="L11" s="63" t="s">
        <v>242</v>
      </c>
      <c r="M11" s="290"/>
      <c r="N11" s="291">
        <f t="shared" si="0"/>
        <v>0</v>
      </c>
      <c r="O11" s="289">
        <v>51000</v>
      </c>
      <c r="P11" s="107" t="s">
        <v>46</v>
      </c>
      <c r="Q11" s="86"/>
      <c r="R11" s="85"/>
    </row>
    <row r="12" spans="1:18" ht="51.75">
      <c r="A12" s="224"/>
      <c r="B12" s="227"/>
      <c r="C12" s="43" t="s">
        <v>124</v>
      </c>
      <c r="D12" s="13">
        <v>2008</v>
      </c>
      <c r="E12" s="13">
        <v>130</v>
      </c>
      <c r="F12" s="10" t="s">
        <v>70</v>
      </c>
      <c r="G12" s="11" t="s">
        <v>70</v>
      </c>
      <c r="H12" s="11" t="s">
        <v>17</v>
      </c>
      <c r="I12" s="10" t="s">
        <v>74</v>
      </c>
      <c r="J12" s="10" t="s">
        <v>263</v>
      </c>
      <c r="K12" s="12">
        <f t="shared" si="1"/>
        <v>297386.39</v>
      </c>
      <c r="L12" s="63" t="s">
        <v>242</v>
      </c>
      <c r="M12" s="290">
        <v>1000</v>
      </c>
      <c r="N12" s="291">
        <f t="shared" si="0"/>
        <v>130000</v>
      </c>
      <c r="O12" s="289">
        <v>297386.39</v>
      </c>
      <c r="P12" s="107" t="s">
        <v>46</v>
      </c>
      <c r="Q12" s="86"/>
      <c r="R12" s="85"/>
    </row>
    <row r="13" spans="1:18">
      <c r="A13" s="224"/>
      <c r="B13" s="227"/>
      <c r="C13" s="43" t="s">
        <v>104</v>
      </c>
      <c r="D13" s="13">
        <v>1973</v>
      </c>
      <c r="E13" s="13">
        <v>172</v>
      </c>
      <c r="F13" s="11" t="s">
        <v>99</v>
      </c>
      <c r="G13" s="10" t="s">
        <v>101</v>
      </c>
      <c r="H13" s="10" t="s">
        <v>17</v>
      </c>
      <c r="I13" s="10" t="s">
        <v>68</v>
      </c>
      <c r="J13" s="108"/>
      <c r="K13" s="12">
        <f t="shared" si="1"/>
        <v>172000</v>
      </c>
      <c r="L13" s="63" t="s">
        <v>241</v>
      </c>
      <c r="M13" s="290">
        <v>1000</v>
      </c>
      <c r="N13" s="291">
        <f t="shared" si="0"/>
        <v>172000</v>
      </c>
      <c r="O13" s="293">
        <v>20000</v>
      </c>
      <c r="P13" s="107" t="s">
        <v>46</v>
      </c>
      <c r="Q13" s="86"/>
      <c r="R13" s="85"/>
    </row>
    <row r="14" spans="1:18">
      <c r="A14" s="224"/>
      <c r="B14" s="227"/>
      <c r="C14" s="43" t="s">
        <v>105</v>
      </c>
      <c r="D14" s="13">
        <v>2001</v>
      </c>
      <c r="E14" s="13">
        <v>750</v>
      </c>
      <c r="F14" s="11" t="s">
        <v>99</v>
      </c>
      <c r="G14" s="10" t="s">
        <v>101</v>
      </c>
      <c r="H14" s="10" t="s">
        <v>101</v>
      </c>
      <c r="I14" s="10" t="s">
        <v>67</v>
      </c>
      <c r="J14" s="108"/>
      <c r="K14" s="12">
        <f t="shared" si="1"/>
        <v>227026.05</v>
      </c>
      <c r="L14" s="63" t="s">
        <v>242</v>
      </c>
      <c r="M14" s="290"/>
      <c r="N14" s="291">
        <f t="shared" si="0"/>
        <v>0</v>
      </c>
      <c r="O14" s="293">
        <v>227026.05</v>
      </c>
      <c r="P14" s="107" t="s">
        <v>46</v>
      </c>
      <c r="Q14" s="86"/>
      <c r="R14" s="85"/>
    </row>
    <row r="15" spans="1:18">
      <c r="A15" s="224"/>
      <c r="B15" s="227"/>
      <c r="C15" s="43" t="s">
        <v>106</v>
      </c>
      <c r="D15" s="13">
        <v>2001</v>
      </c>
      <c r="E15" s="13">
        <v>72</v>
      </c>
      <c r="F15" s="11" t="s">
        <v>117</v>
      </c>
      <c r="G15" s="10" t="s">
        <v>71</v>
      </c>
      <c r="H15" s="10" t="s">
        <v>17</v>
      </c>
      <c r="I15" s="10" t="s">
        <v>74</v>
      </c>
      <c r="J15" s="108"/>
      <c r="K15" s="12">
        <f t="shared" si="1"/>
        <v>72000</v>
      </c>
      <c r="L15" s="63" t="s">
        <v>241</v>
      </c>
      <c r="M15" s="290">
        <v>1000</v>
      </c>
      <c r="N15" s="291">
        <f t="shared" si="0"/>
        <v>72000</v>
      </c>
      <c r="O15" s="293">
        <v>37630</v>
      </c>
      <c r="P15" s="107" t="s">
        <v>46</v>
      </c>
      <c r="Q15" s="86"/>
      <c r="R15" s="85"/>
    </row>
    <row r="16" spans="1:18" ht="26.25">
      <c r="A16" s="224"/>
      <c r="B16" s="227"/>
      <c r="C16" s="43" t="s">
        <v>107</v>
      </c>
      <c r="D16" s="13">
        <v>2007</v>
      </c>
      <c r="E16" s="13">
        <v>510</v>
      </c>
      <c r="F16" s="11" t="s">
        <v>118</v>
      </c>
      <c r="G16" s="10" t="s">
        <v>119</v>
      </c>
      <c r="H16" s="10" t="s">
        <v>17</v>
      </c>
      <c r="I16" s="10" t="s">
        <v>74</v>
      </c>
      <c r="J16" s="108"/>
      <c r="K16" s="12">
        <f t="shared" si="1"/>
        <v>510000</v>
      </c>
      <c r="L16" s="63" t="s">
        <v>241</v>
      </c>
      <c r="M16" s="290">
        <v>1000</v>
      </c>
      <c r="N16" s="291">
        <f t="shared" si="0"/>
        <v>510000</v>
      </c>
      <c r="O16" s="293">
        <v>81297</v>
      </c>
      <c r="P16" s="107" t="s">
        <v>46</v>
      </c>
      <c r="Q16" s="86"/>
      <c r="R16" s="85"/>
    </row>
    <row r="17" spans="1:18">
      <c r="A17" s="224"/>
      <c r="B17" s="227"/>
      <c r="C17" s="43" t="s">
        <v>108</v>
      </c>
      <c r="D17" s="13">
        <v>1962</v>
      </c>
      <c r="E17" s="13">
        <v>200</v>
      </c>
      <c r="F17" s="11" t="s">
        <v>118</v>
      </c>
      <c r="G17" s="10" t="s">
        <v>120</v>
      </c>
      <c r="H17" s="10" t="s">
        <v>17</v>
      </c>
      <c r="I17" s="10" t="s">
        <v>74</v>
      </c>
      <c r="J17" s="108"/>
      <c r="K17" s="12">
        <f t="shared" si="1"/>
        <v>200000</v>
      </c>
      <c r="L17" s="63" t="s">
        <v>241</v>
      </c>
      <c r="M17" s="290">
        <v>1000</v>
      </c>
      <c r="N17" s="291">
        <f t="shared" si="0"/>
        <v>200000</v>
      </c>
      <c r="O17" s="293">
        <v>60000</v>
      </c>
      <c r="P17" s="107" t="s">
        <v>46</v>
      </c>
      <c r="Q17" s="86"/>
      <c r="R17" s="85"/>
    </row>
    <row r="18" spans="1:18" ht="27.75" customHeight="1">
      <c r="A18" s="224"/>
      <c r="B18" s="227"/>
      <c r="C18" s="43" t="s">
        <v>109</v>
      </c>
      <c r="D18" s="13">
        <v>1997</v>
      </c>
      <c r="E18" s="13">
        <v>72</v>
      </c>
      <c r="F18" s="11" t="s">
        <v>121</v>
      </c>
      <c r="G18" s="10" t="s">
        <v>71</v>
      </c>
      <c r="H18" s="10" t="s">
        <v>17</v>
      </c>
      <c r="I18" s="10" t="s">
        <v>74</v>
      </c>
      <c r="J18" s="108"/>
      <c r="K18" s="12">
        <f t="shared" si="1"/>
        <v>40000</v>
      </c>
      <c r="L18" s="63" t="s">
        <v>242</v>
      </c>
      <c r="M18" s="290"/>
      <c r="N18" s="291">
        <f t="shared" si="0"/>
        <v>0</v>
      </c>
      <c r="O18" s="293">
        <v>40000</v>
      </c>
      <c r="P18" s="107" t="s">
        <v>46</v>
      </c>
      <c r="Q18" s="86"/>
      <c r="R18" s="85"/>
    </row>
    <row r="19" spans="1:18">
      <c r="A19" s="224"/>
      <c r="B19" s="227"/>
      <c r="C19" s="43" t="s">
        <v>110</v>
      </c>
      <c r="D19" s="13">
        <v>1983</v>
      </c>
      <c r="E19" s="13">
        <v>435</v>
      </c>
      <c r="F19" s="11" t="s">
        <v>117</v>
      </c>
      <c r="G19" s="10" t="s">
        <v>69</v>
      </c>
      <c r="H19" s="10" t="s">
        <v>17</v>
      </c>
      <c r="I19" s="10" t="s">
        <v>74</v>
      </c>
      <c r="J19" s="108"/>
      <c r="K19" s="12">
        <f t="shared" si="1"/>
        <v>435000</v>
      </c>
      <c r="L19" s="63" t="s">
        <v>241</v>
      </c>
      <c r="M19" s="290">
        <v>1000</v>
      </c>
      <c r="N19" s="291">
        <f t="shared" si="0"/>
        <v>435000</v>
      </c>
      <c r="O19" s="293">
        <v>150000</v>
      </c>
      <c r="P19" s="107" t="s">
        <v>46</v>
      </c>
      <c r="Q19" s="86"/>
      <c r="R19" s="85"/>
    </row>
    <row r="20" spans="1:18">
      <c r="A20" s="224"/>
      <c r="B20" s="227"/>
      <c r="C20" s="43" t="s">
        <v>111</v>
      </c>
      <c r="D20" s="13">
        <v>1967</v>
      </c>
      <c r="E20" s="13">
        <v>228</v>
      </c>
      <c r="F20" s="11" t="s">
        <v>117</v>
      </c>
      <c r="G20" s="10" t="s">
        <v>66</v>
      </c>
      <c r="H20" s="10" t="s">
        <v>122</v>
      </c>
      <c r="I20" s="10" t="s">
        <v>74</v>
      </c>
      <c r="J20" s="108"/>
      <c r="K20" s="12">
        <f t="shared" si="1"/>
        <v>228000</v>
      </c>
      <c r="L20" s="63" t="s">
        <v>241</v>
      </c>
      <c r="M20" s="290">
        <v>1000</v>
      </c>
      <c r="N20" s="291">
        <f t="shared" si="0"/>
        <v>228000</v>
      </c>
      <c r="O20" s="293">
        <v>50000</v>
      </c>
      <c r="P20" s="107" t="s">
        <v>46</v>
      </c>
      <c r="Q20" s="86"/>
      <c r="R20" s="85"/>
    </row>
    <row r="21" spans="1:18">
      <c r="A21" s="224"/>
      <c r="B21" s="227"/>
      <c r="C21" s="43" t="s">
        <v>112</v>
      </c>
      <c r="D21" s="13">
        <v>1964</v>
      </c>
      <c r="E21" s="13">
        <v>400</v>
      </c>
      <c r="F21" s="11" t="s">
        <v>118</v>
      </c>
      <c r="G21" s="10" t="s">
        <v>66</v>
      </c>
      <c r="H21" s="10" t="s">
        <v>17</v>
      </c>
      <c r="I21" s="10" t="s">
        <v>74</v>
      </c>
      <c r="J21" s="108"/>
      <c r="K21" s="12">
        <f t="shared" si="1"/>
        <v>400000</v>
      </c>
      <c r="L21" s="63" t="s">
        <v>241</v>
      </c>
      <c r="M21" s="290">
        <v>1000</v>
      </c>
      <c r="N21" s="291">
        <f t="shared" si="0"/>
        <v>400000</v>
      </c>
      <c r="O21" s="293">
        <v>90000</v>
      </c>
      <c r="P21" s="107" t="s">
        <v>46</v>
      </c>
      <c r="Q21" s="86"/>
      <c r="R21" s="85"/>
    </row>
    <row r="22" spans="1:18">
      <c r="A22" s="224"/>
      <c r="B22" s="227"/>
      <c r="C22" s="43" t="s">
        <v>113</v>
      </c>
      <c r="D22" s="13">
        <v>2011</v>
      </c>
      <c r="E22" s="13">
        <v>262</v>
      </c>
      <c r="F22" s="11" t="s">
        <v>118</v>
      </c>
      <c r="G22" s="10" t="s">
        <v>66</v>
      </c>
      <c r="H22" s="10" t="s">
        <v>17</v>
      </c>
      <c r="I22" s="10" t="s">
        <v>74</v>
      </c>
      <c r="J22" s="108"/>
      <c r="K22" s="12">
        <f t="shared" si="1"/>
        <v>478524.69</v>
      </c>
      <c r="L22" s="63" t="s">
        <v>242</v>
      </c>
      <c r="M22" s="290"/>
      <c r="N22" s="291">
        <f t="shared" si="0"/>
        <v>0</v>
      </c>
      <c r="O22" s="293">
        <v>478524.69</v>
      </c>
      <c r="P22" s="107" t="s">
        <v>46</v>
      </c>
      <c r="Q22" s="86"/>
      <c r="R22" s="85"/>
    </row>
    <row r="23" spans="1:18">
      <c r="A23" s="224"/>
      <c r="B23" s="227"/>
      <c r="C23" s="43" t="s">
        <v>114</v>
      </c>
      <c r="D23" s="13">
        <v>1960</v>
      </c>
      <c r="E23" s="13">
        <v>231</v>
      </c>
      <c r="F23" s="11" t="s">
        <v>72</v>
      </c>
      <c r="G23" s="10" t="s">
        <v>66</v>
      </c>
      <c r="H23" s="10" t="s">
        <v>17</v>
      </c>
      <c r="I23" s="10" t="s">
        <v>68</v>
      </c>
      <c r="J23" s="108"/>
      <c r="K23" s="12">
        <f t="shared" si="1"/>
        <v>231000</v>
      </c>
      <c r="L23" s="63" t="s">
        <v>241</v>
      </c>
      <c r="M23" s="290">
        <v>1000</v>
      </c>
      <c r="N23" s="291">
        <f t="shared" si="0"/>
        <v>231000</v>
      </c>
      <c r="O23" s="293">
        <v>40000</v>
      </c>
      <c r="P23" s="107" t="s">
        <v>46</v>
      </c>
      <c r="Q23" s="86"/>
      <c r="R23" s="85"/>
    </row>
    <row r="24" spans="1:18">
      <c r="A24" s="224"/>
      <c r="B24" s="227"/>
      <c r="C24" s="43" t="s">
        <v>115</v>
      </c>
      <c r="D24" s="13">
        <v>1963</v>
      </c>
      <c r="E24" s="13">
        <v>166</v>
      </c>
      <c r="F24" s="11" t="s">
        <v>123</v>
      </c>
      <c r="G24" s="10" t="s">
        <v>70</v>
      </c>
      <c r="H24" s="10" t="s">
        <v>17</v>
      </c>
      <c r="I24" s="10" t="s">
        <v>74</v>
      </c>
      <c r="J24" s="108"/>
      <c r="K24" s="12">
        <f t="shared" ref="K24:K42" si="2">IF(N24&gt;O24,N24,O24)</f>
        <v>166000</v>
      </c>
      <c r="L24" s="63" t="s">
        <v>241</v>
      </c>
      <c r="M24" s="290">
        <v>1000</v>
      </c>
      <c r="N24" s="291">
        <f t="shared" si="0"/>
        <v>166000</v>
      </c>
      <c r="O24" s="293">
        <v>50000</v>
      </c>
      <c r="P24" s="107" t="s">
        <v>46</v>
      </c>
      <c r="Q24" s="87"/>
      <c r="R24" s="85"/>
    </row>
    <row r="25" spans="1:18">
      <c r="A25" s="224"/>
      <c r="B25" s="227"/>
      <c r="C25" s="43" t="s">
        <v>116</v>
      </c>
      <c r="D25" s="13">
        <v>2003</v>
      </c>
      <c r="E25" s="13">
        <v>300</v>
      </c>
      <c r="F25" s="11" t="s">
        <v>131</v>
      </c>
      <c r="G25" s="10" t="s">
        <v>66</v>
      </c>
      <c r="H25" s="10" t="s">
        <v>132</v>
      </c>
      <c r="I25" s="10" t="s">
        <v>74</v>
      </c>
      <c r="J25" s="108"/>
      <c r="K25" s="12">
        <f t="shared" si="2"/>
        <v>300000</v>
      </c>
      <c r="L25" s="63" t="s">
        <v>241</v>
      </c>
      <c r="M25" s="290">
        <v>1000</v>
      </c>
      <c r="N25" s="291">
        <f t="shared" si="0"/>
        <v>300000</v>
      </c>
      <c r="O25" s="293">
        <v>70633.789999999994</v>
      </c>
      <c r="P25" s="107" t="s">
        <v>46</v>
      </c>
      <c r="Q25" s="87"/>
      <c r="R25" s="85"/>
    </row>
    <row r="26" spans="1:18" ht="26.25">
      <c r="A26" s="224"/>
      <c r="B26" s="227"/>
      <c r="C26" s="43" t="s">
        <v>133</v>
      </c>
      <c r="D26" s="13">
        <v>1968</v>
      </c>
      <c r="E26" s="13">
        <v>216</v>
      </c>
      <c r="F26" s="10" t="s">
        <v>72</v>
      </c>
      <c r="G26" s="11" t="s">
        <v>134</v>
      </c>
      <c r="H26" s="11" t="s">
        <v>17</v>
      </c>
      <c r="I26" s="10" t="s">
        <v>74</v>
      </c>
      <c r="J26" s="10"/>
      <c r="K26" s="12">
        <f t="shared" si="2"/>
        <v>540000</v>
      </c>
      <c r="L26" s="63" t="s">
        <v>241</v>
      </c>
      <c r="M26" s="290">
        <v>2500</v>
      </c>
      <c r="N26" s="291">
        <f t="shared" si="0"/>
        <v>540000</v>
      </c>
      <c r="O26" s="293">
        <v>80131.39</v>
      </c>
      <c r="P26" s="107" t="s">
        <v>46</v>
      </c>
      <c r="Q26" s="86"/>
      <c r="R26" s="85"/>
    </row>
    <row r="27" spans="1:18">
      <c r="A27" s="224"/>
      <c r="B27" s="227"/>
      <c r="C27" s="43" t="s">
        <v>245</v>
      </c>
      <c r="D27" s="13">
        <v>1963</v>
      </c>
      <c r="E27" s="13">
        <v>190</v>
      </c>
      <c r="F27" s="10" t="s">
        <v>99</v>
      </c>
      <c r="G27" s="11" t="s">
        <v>66</v>
      </c>
      <c r="H27" s="11" t="s">
        <v>17</v>
      </c>
      <c r="I27" s="10" t="s">
        <v>74</v>
      </c>
      <c r="J27" s="10"/>
      <c r="K27" s="12">
        <f t="shared" si="2"/>
        <v>169987.04</v>
      </c>
      <c r="L27" s="63" t="s">
        <v>242</v>
      </c>
      <c r="M27" s="290"/>
      <c r="N27" s="291"/>
      <c r="O27" s="293">
        <v>169987.04</v>
      </c>
      <c r="P27" s="107" t="s">
        <v>46</v>
      </c>
      <c r="Q27" s="86"/>
      <c r="R27" s="85"/>
    </row>
    <row r="28" spans="1:18" ht="26.25">
      <c r="A28" s="224"/>
      <c r="B28" s="227"/>
      <c r="C28" s="43" t="s">
        <v>260</v>
      </c>
      <c r="D28" s="13">
        <v>1974</v>
      </c>
      <c r="E28" s="13">
        <v>50</v>
      </c>
      <c r="F28" s="10" t="s">
        <v>99</v>
      </c>
      <c r="G28" s="11" t="s">
        <v>66</v>
      </c>
      <c r="H28" s="11" t="s">
        <v>17</v>
      </c>
      <c r="I28" s="10" t="s">
        <v>74</v>
      </c>
      <c r="J28" s="10"/>
      <c r="K28" s="12">
        <f t="shared" si="2"/>
        <v>6409.2</v>
      </c>
      <c r="L28" s="63" t="s">
        <v>242</v>
      </c>
      <c r="M28" s="290"/>
      <c r="N28" s="291"/>
      <c r="O28" s="293">
        <v>6409.2</v>
      </c>
      <c r="P28" s="107" t="s">
        <v>46</v>
      </c>
      <c r="Q28" s="86"/>
      <c r="R28" s="85"/>
    </row>
    <row r="29" spans="1:18">
      <c r="A29" s="224"/>
      <c r="B29" s="227"/>
      <c r="C29" s="43" t="s">
        <v>246</v>
      </c>
      <c r="D29" s="13">
        <v>1928</v>
      </c>
      <c r="E29" s="13">
        <v>212</v>
      </c>
      <c r="F29" s="10" t="s">
        <v>99</v>
      </c>
      <c r="G29" s="11" t="s">
        <v>66</v>
      </c>
      <c r="H29" s="11" t="s">
        <v>17</v>
      </c>
      <c r="I29" s="10" t="s">
        <v>247</v>
      </c>
      <c r="J29" s="10"/>
      <c r="K29" s="12">
        <f t="shared" si="2"/>
        <v>334793</v>
      </c>
      <c r="L29" s="63" t="s">
        <v>242</v>
      </c>
      <c r="M29" s="290"/>
      <c r="N29" s="291"/>
      <c r="O29" s="293">
        <v>334793</v>
      </c>
      <c r="P29" s="107" t="s">
        <v>46</v>
      </c>
      <c r="Q29" s="86"/>
      <c r="R29" s="85"/>
    </row>
    <row r="30" spans="1:18" ht="26.25">
      <c r="A30" s="224"/>
      <c r="B30" s="227"/>
      <c r="C30" s="43" t="s">
        <v>248</v>
      </c>
      <c r="D30" s="13">
        <v>2012</v>
      </c>
      <c r="E30" s="13"/>
      <c r="F30" s="10"/>
      <c r="G30" s="11"/>
      <c r="H30" s="11"/>
      <c r="I30" s="10"/>
      <c r="J30" s="10"/>
      <c r="K30" s="12">
        <f t="shared" si="2"/>
        <v>425510</v>
      </c>
      <c r="L30" s="63" t="s">
        <v>242</v>
      </c>
      <c r="M30" s="290"/>
      <c r="N30" s="291"/>
      <c r="O30" s="293">
        <v>425510</v>
      </c>
      <c r="P30" s="107" t="s">
        <v>48</v>
      </c>
      <c r="Q30" s="86"/>
      <c r="R30" s="85"/>
    </row>
    <row r="31" spans="1:18" ht="26.25">
      <c r="A31" s="224"/>
      <c r="B31" s="227"/>
      <c r="C31" s="43" t="s">
        <v>244</v>
      </c>
      <c r="D31" s="13">
        <v>2010</v>
      </c>
      <c r="E31" s="13"/>
      <c r="F31" s="10"/>
      <c r="G31" s="11"/>
      <c r="H31" s="11"/>
      <c r="I31" s="10"/>
      <c r="J31" s="10"/>
      <c r="K31" s="12">
        <f t="shared" si="2"/>
        <v>217652.36</v>
      </c>
      <c r="L31" s="63" t="s">
        <v>242</v>
      </c>
      <c r="M31" s="290"/>
      <c r="N31" s="291"/>
      <c r="O31" s="293">
        <v>217652.36</v>
      </c>
      <c r="P31" s="107" t="s">
        <v>48</v>
      </c>
      <c r="Q31" s="86"/>
      <c r="R31" s="85"/>
    </row>
    <row r="32" spans="1:18" ht="26.25">
      <c r="A32" s="224"/>
      <c r="B32" s="227"/>
      <c r="C32" s="43" t="s">
        <v>135</v>
      </c>
      <c r="D32" s="13">
        <v>2010</v>
      </c>
      <c r="E32" s="13"/>
      <c r="F32" s="10"/>
      <c r="G32" s="11"/>
      <c r="H32" s="11"/>
      <c r="I32" s="10"/>
      <c r="J32" s="10"/>
      <c r="K32" s="12">
        <f t="shared" si="2"/>
        <v>268374.53000000003</v>
      </c>
      <c r="L32" s="63" t="s">
        <v>242</v>
      </c>
      <c r="M32" s="290"/>
      <c r="N32" s="291"/>
      <c r="O32" s="293">
        <v>268374.53000000003</v>
      </c>
      <c r="P32" s="107" t="s">
        <v>48</v>
      </c>
      <c r="Q32" s="86"/>
      <c r="R32" s="85"/>
    </row>
    <row r="33" spans="1:18" ht="26.25">
      <c r="A33" s="224"/>
      <c r="B33" s="227"/>
      <c r="C33" s="43" t="s">
        <v>136</v>
      </c>
      <c r="D33" s="13"/>
      <c r="E33" s="13"/>
      <c r="F33" s="10"/>
      <c r="G33" s="11"/>
      <c r="H33" s="11"/>
      <c r="I33" s="10"/>
      <c r="J33" s="10"/>
      <c r="K33" s="12">
        <f t="shared" si="2"/>
        <v>173120.78</v>
      </c>
      <c r="L33" s="63" t="s">
        <v>242</v>
      </c>
      <c r="M33" s="290"/>
      <c r="N33" s="291"/>
      <c r="O33" s="293">
        <v>173120.78</v>
      </c>
      <c r="P33" s="107" t="s">
        <v>48</v>
      </c>
      <c r="Q33" s="86"/>
      <c r="R33" s="85"/>
    </row>
    <row r="34" spans="1:18">
      <c r="A34" s="224"/>
      <c r="B34" s="227"/>
      <c r="C34" s="208" t="s">
        <v>137</v>
      </c>
      <c r="D34" s="13">
        <v>2010</v>
      </c>
      <c r="E34" s="13"/>
      <c r="F34" s="10"/>
      <c r="G34" s="11"/>
      <c r="H34" s="11"/>
      <c r="I34" s="10"/>
      <c r="J34" s="10"/>
      <c r="K34" s="12">
        <f t="shared" si="2"/>
        <v>903645.9</v>
      </c>
      <c r="L34" s="63" t="s">
        <v>242</v>
      </c>
      <c r="M34" s="290"/>
      <c r="N34" s="291"/>
      <c r="O34" s="293">
        <v>903645.9</v>
      </c>
      <c r="P34" s="107" t="s">
        <v>48</v>
      </c>
      <c r="Q34" s="86"/>
      <c r="R34" s="85"/>
    </row>
    <row r="35" spans="1:18" ht="26.25">
      <c r="A35" s="224"/>
      <c r="B35" s="227"/>
      <c r="C35" s="43" t="s">
        <v>138</v>
      </c>
      <c r="D35" s="13">
        <v>2014</v>
      </c>
      <c r="E35" s="13"/>
      <c r="F35" s="10"/>
      <c r="G35" s="11"/>
      <c r="H35" s="11"/>
      <c r="I35" s="10"/>
      <c r="J35" s="10"/>
      <c r="K35" s="12">
        <f t="shared" si="2"/>
        <v>55523.199999999997</v>
      </c>
      <c r="L35" s="63" t="s">
        <v>242</v>
      </c>
      <c r="M35" s="290"/>
      <c r="N35" s="291"/>
      <c r="O35" s="293">
        <v>55523.199999999997</v>
      </c>
      <c r="P35" s="107" t="s">
        <v>48</v>
      </c>
      <c r="Q35" s="86"/>
      <c r="R35" s="85"/>
    </row>
    <row r="36" spans="1:18" ht="26.25">
      <c r="A36" s="224"/>
      <c r="B36" s="227"/>
      <c r="C36" s="208" t="s">
        <v>139</v>
      </c>
      <c r="D36" s="13">
        <v>2014</v>
      </c>
      <c r="E36" s="13"/>
      <c r="F36" s="10"/>
      <c r="G36" s="11"/>
      <c r="H36" s="11"/>
      <c r="I36" s="10"/>
      <c r="J36" s="10"/>
      <c r="K36" s="12">
        <f t="shared" si="2"/>
        <v>643390</v>
      </c>
      <c r="L36" s="63" t="s">
        <v>242</v>
      </c>
      <c r="M36" s="290"/>
      <c r="N36" s="291"/>
      <c r="O36" s="293">
        <v>643390</v>
      </c>
      <c r="P36" s="107" t="s">
        <v>48</v>
      </c>
      <c r="Q36" s="86"/>
      <c r="R36" s="85"/>
    </row>
    <row r="37" spans="1:18">
      <c r="A37" s="224"/>
      <c r="B37" s="227"/>
      <c r="C37" s="43" t="s">
        <v>249</v>
      </c>
      <c r="D37" s="13"/>
      <c r="E37" s="13"/>
      <c r="F37" s="10"/>
      <c r="G37" s="11"/>
      <c r="H37" s="11"/>
      <c r="I37" s="10"/>
      <c r="J37" s="10"/>
      <c r="K37" s="12">
        <f t="shared" si="2"/>
        <v>26911.75</v>
      </c>
      <c r="L37" s="63" t="s">
        <v>242</v>
      </c>
      <c r="M37" s="290"/>
      <c r="N37" s="291"/>
      <c r="O37" s="293">
        <v>26911.75</v>
      </c>
      <c r="P37" s="107" t="s">
        <v>48</v>
      </c>
      <c r="Q37" s="86"/>
      <c r="R37" s="85"/>
    </row>
    <row r="38" spans="1:18" ht="26.25">
      <c r="A38" s="224"/>
      <c r="B38" s="227"/>
      <c r="C38" s="43" t="s">
        <v>166</v>
      </c>
      <c r="D38" s="13">
        <v>2014</v>
      </c>
      <c r="E38" s="13"/>
      <c r="F38" s="10"/>
      <c r="G38" s="11"/>
      <c r="H38" s="11"/>
      <c r="I38" s="10"/>
      <c r="J38" s="10"/>
      <c r="K38" s="12">
        <f t="shared" si="2"/>
        <v>43724.94</v>
      </c>
      <c r="L38" s="63" t="s">
        <v>242</v>
      </c>
      <c r="M38" s="290"/>
      <c r="N38" s="291"/>
      <c r="O38" s="293">
        <v>43724.94</v>
      </c>
      <c r="P38" s="107" t="s">
        <v>48</v>
      </c>
      <c r="Q38" s="86"/>
      <c r="R38" s="85"/>
    </row>
    <row r="39" spans="1:18">
      <c r="A39" s="224"/>
      <c r="B39" s="227"/>
      <c r="C39" s="43" t="s">
        <v>317</v>
      </c>
      <c r="D39" s="13">
        <v>2018</v>
      </c>
      <c r="E39" s="13"/>
      <c r="F39" s="10"/>
      <c r="G39" s="11"/>
      <c r="H39" s="11"/>
      <c r="I39" s="10"/>
      <c r="J39" s="10"/>
      <c r="K39" s="12">
        <f t="shared" si="2"/>
        <v>63492.6</v>
      </c>
      <c r="L39" s="63"/>
      <c r="M39" s="290"/>
      <c r="N39" s="291"/>
      <c r="O39" s="293">
        <v>63492.6</v>
      </c>
      <c r="P39" s="107" t="s">
        <v>48</v>
      </c>
      <c r="Q39" s="86"/>
      <c r="R39" s="85"/>
    </row>
    <row r="40" spans="1:18">
      <c r="A40" s="224"/>
      <c r="B40" s="227"/>
      <c r="C40" s="43" t="s">
        <v>318</v>
      </c>
      <c r="D40" s="13">
        <v>2018</v>
      </c>
      <c r="E40" s="13"/>
      <c r="F40" s="10"/>
      <c r="G40" s="11"/>
      <c r="H40" s="11"/>
      <c r="I40" s="10"/>
      <c r="J40" s="10"/>
      <c r="K40" s="12">
        <f t="shared" si="2"/>
        <v>61278.6</v>
      </c>
      <c r="L40" s="63"/>
      <c r="M40" s="290"/>
      <c r="N40" s="291"/>
      <c r="O40" s="293">
        <v>61278.6</v>
      </c>
      <c r="P40" s="107" t="s">
        <v>48</v>
      </c>
      <c r="Q40" s="86"/>
      <c r="R40" s="85"/>
    </row>
    <row r="41" spans="1:18">
      <c r="A41" s="224"/>
      <c r="B41" s="227"/>
      <c r="C41" s="43" t="s">
        <v>319</v>
      </c>
      <c r="D41" s="13">
        <v>2018</v>
      </c>
      <c r="E41" s="13"/>
      <c r="F41" s="10"/>
      <c r="G41" s="11"/>
      <c r="H41" s="11"/>
      <c r="I41" s="10"/>
      <c r="J41" s="10"/>
      <c r="K41" s="12">
        <f t="shared" si="2"/>
        <v>72994.350000000006</v>
      </c>
      <c r="L41" s="63"/>
      <c r="M41" s="290"/>
      <c r="N41" s="291"/>
      <c r="O41" s="293">
        <v>72994.350000000006</v>
      </c>
      <c r="P41" s="107" t="s">
        <v>48</v>
      </c>
      <c r="Q41" s="86"/>
      <c r="R41" s="85"/>
    </row>
    <row r="42" spans="1:18" ht="26.25">
      <c r="A42" s="224"/>
      <c r="B42" s="227"/>
      <c r="C42" s="43" t="s">
        <v>320</v>
      </c>
      <c r="D42" s="13">
        <v>2018</v>
      </c>
      <c r="E42" s="13"/>
      <c r="F42" s="10"/>
      <c r="G42" s="11"/>
      <c r="H42" s="11"/>
      <c r="I42" s="10"/>
      <c r="J42" s="10"/>
      <c r="K42" s="12">
        <f t="shared" si="2"/>
        <v>239000</v>
      </c>
      <c r="L42" s="63"/>
      <c r="M42" s="290"/>
      <c r="N42" s="291"/>
      <c r="O42" s="293">
        <v>239000</v>
      </c>
      <c r="P42" s="107" t="s">
        <v>48</v>
      </c>
      <c r="Q42" s="86"/>
      <c r="R42" s="85"/>
    </row>
    <row r="43" spans="1:18">
      <c r="A43" s="224"/>
      <c r="B43" s="227"/>
      <c r="C43" s="43" t="s">
        <v>250</v>
      </c>
      <c r="D43" s="13"/>
      <c r="E43" s="13"/>
      <c r="F43" s="10"/>
      <c r="G43" s="11"/>
      <c r="H43" s="11"/>
      <c r="I43" s="10"/>
      <c r="J43" s="10"/>
      <c r="K43" s="12">
        <f>IF(N43&gt;O43,N43,O43)</f>
        <v>398914.59999999992</v>
      </c>
      <c r="L43" s="63"/>
      <c r="M43" s="290"/>
      <c r="N43" s="291"/>
      <c r="O43" s="293">
        <f>40588.81+7024.57+1949.61+8773.88+942.78+4087.22+4659.45+5109.08+35572.5+4348.83+2275.22+1284.43+5480.45+1062.68+814.88+4838.46+1909.92+5093.11+9804.24+26523.07+490+14954.52+140060.53+7639.67+2237.79+5282.6+13680+15279.33+7934.99+2999.99+5600+5600+5011.99</f>
        <v>398914.59999999992</v>
      </c>
      <c r="P43" s="107" t="s">
        <v>251</v>
      </c>
      <c r="Q43" s="86"/>
      <c r="R43" s="85"/>
    </row>
    <row r="44" spans="1:18" ht="15.75" thickBot="1">
      <c r="A44" s="225"/>
      <c r="B44" s="228"/>
      <c r="C44" s="130" t="s">
        <v>50</v>
      </c>
      <c r="D44" s="68"/>
      <c r="E44" s="68"/>
      <c r="F44" s="54"/>
      <c r="G44" s="69"/>
      <c r="H44" s="69"/>
      <c r="I44" s="54"/>
      <c r="J44" s="54"/>
      <c r="K44" s="55">
        <f>52746.88+57878.87+16894.61+64733.2</f>
        <v>192253.56</v>
      </c>
      <c r="L44" s="64"/>
      <c r="M44" s="294"/>
      <c r="N44" s="295"/>
      <c r="O44" s="296">
        <f>45091.65+104518.98+6096325.91+64733.2</f>
        <v>6310669.7400000002</v>
      </c>
      <c r="P44" s="107" t="s">
        <v>47</v>
      </c>
      <c r="Q44" s="86"/>
      <c r="R44" s="85"/>
    </row>
    <row r="45" spans="1:18" ht="15.75" customHeight="1">
      <c r="A45" s="219" t="s">
        <v>12</v>
      </c>
      <c r="B45" s="217" t="s">
        <v>63</v>
      </c>
      <c r="C45" s="106" t="s">
        <v>250</v>
      </c>
      <c r="D45" s="56"/>
      <c r="E45" s="56"/>
      <c r="F45" s="57"/>
      <c r="G45" s="58"/>
      <c r="H45" s="58"/>
      <c r="I45" s="57"/>
      <c r="J45" s="57"/>
      <c r="K45" s="59">
        <f>IF(N45&gt;O45,N45,O45)</f>
        <v>60870</v>
      </c>
      <c r="L45" s="131"/>
      <c r="M45" s="297"/>
      <c r="N45" s="288"/>
      <c r="O45" s="298">
        <f>3217+3200+1100+1000+1970+2150+350+4000+4000+3990+4600+3400+1200+419+349+2800+229+8500+1500+900+2750+1746+2000+2500+500+2500</f>
        <v>60870</v>
      </c>
      <c r="P45" s="107" t="s">
        <v>251</v>
      </c>
      <c r="Q45" s="86"/>
      <c r="R45" s="85"/>
    </row>
    <row r="46" spans="1:18" s="37" customFormat="1" ht="29.25" customHeight="1" thickBot="1">
      <c r="A46" s="220"/>
      <c r="B46" s="218"/>
      <c r="C46" s="133" t="s">
        <v>50</v>
      </c>
      <c r="D46" s="134"/>
      <c r="E46" s="135"/>
      <c r="F46" s="136"/>
      <c r="G46" s="137"/>
      <c r="H46" s="136"/>
      <c r="I46" s="136"/>
      <c r="J46" s="133"/>
      <c r="K46" s="138">
        <f>IF(N46&gt;45,N46,O46)</f>
        <v>81667.91</v>
      </c>
      <c r="L46" s="139"/>
      <c r="M46" s="299"/>
      <c r="N46" s="300">
        <f>M46*E46</f>
        <v>0</v>
      </c>
      <c r="O46" s="301">
        <f>4000+76267.91+1400</f>
        <v>81667.91</v>
      </c>
      <c r="P46" s="37" t="s">
        <v>47</v>
      </c>
      <c r="Q46" s="88" t="s">
        <v>47</v>
      </c>
      <c r="R46" s="89">
        <f>K46</f>
        <v>81667.91</v>
      </c>
    </row>
    <row r="47" spans="1:18" s="4" customFormat="1">
      <c r="A47" s="231" t="s">
        <v>13</v>
      </c>
      <c r="B47" s="241" t="s">
        <v>58</v>
      </c>
      <c r="C47" s="140" t="s">
        <v>140</v>
      </c>
      <c r="D47" s="141" t="s">
        <v>143</v>
      </c>
      <c r="E47" s="142">
        <v>413</v>
      </c>
      <c r="F47" s="143" t="s">
        <v>118</v>
      </c>
      <c r="G47" s="142" t="s">
        <v>17</v>
      </c>
      <c r="H47" s="142" t="s">
        <v>17</v>
      </c>
      <c r="I47" s="143" t="s">
        <v>67</v>
      </c>
      <c r="J47" s="144"/>
      <c r="K47" s="145">
        <f>IF(N47&gt;O47,N47,O47)</f>
        <v>1032500</v>
      </c>
      <c r="L47" s="146" t="s">
        <v>241</v>
      </c>
      <c r="M47" s="302">
        <v>2500</v>
      </c>
      <c r="N47" s="303">
        <f>E47*M47</f>
        <v>1032500</v>
      </c>
      <c r="O47" s="304">
        <v>188364.25</v>
      </c>
      <c r="P47" s="4" t="s">
        <v>46</v>
      </c>
      <c r="Q47" s="91"/>
      <c r="R47" s="90"/>
    </row>
    <row r="48" spans="1:18" s="4" customFormat="1">
      <c r="A48" s="231"/>
      <c r="B48" s="241"/>
      <c r="C48" s="43" t="s">
        <v>250</v>
      </c>
      <c r="D48" s="147"/>
      <c r="E48" s="13"/>
      <c r="F48" s="10"/>
      <c r="G48" s="13"/>
      <c r="H48" s="13"/>
      <c r="I48" s="10"/>
      <c r="J48" s="148"/>
      <c r="K48" s="12">
        <f t="shared" ref="K48:K51" si="3">IF(N48&gt;O48,N48,O48)</f>
        <v>67405</v>
      </c>
      <c r="L48" s="63"/>
      <c r="M48" s="290"/>
      <c r="N48" s="291"/>
      <c r="O48" s="305">
        <f>2049+3650+15500+500+2523.44+1348.98+5000+1500+2697.98+24575+4200+3860.6</f>
        <v>67405</v>
      </c>
      <c r="P48" s="4" t="s">
        <v>251</v>
      </c>
      <c r="Q48" s="91"/>
      <c r="R48" s="92"/>
    </row>
    <row r="49" spans="1:18" s="4" customFormat="1" ht="26.25" customHeight="1">
      <c r="A49" s="231"/>
      <c r="B49" s="241"/>
      <c r="C49" s="43" t="s">
        <v>277</v>
      </c>
      <c r="D49" s="147"/>
      <c r="E49" s="13"/>
      <c r="F49" s="10"/>
      <c r="G49" s="13"/>
      <c r="H49" s="13"/>
      <c r="I49" s="10"/>
      <c r="J49" s="148"/>
      <c r="K49" s="12">
        <f t="shared" si="3"/>
        <v>38243.43</v>
      </c>
      <c r="L49" s="63"/>
      <c r="M49" s="290"/>
      <c r="N49" s="291">
        <f>E49*M49</f>
        <v>0</v>
      </c>
      <c r="O49" s="305">
        <f>18884.75+539+5899.69+539+365+550+1599+688.99+1000+1188+397+2140+479+1124+1400+1450</f>
        <v>38243.43</v>
      </c>
      <c r="P49" s="4" t="s">
        <v>47</v>
      </c>
      <c r="Q49" s="91" t="s">
        <v>47</v>
      </c>
      <c r="R49" s="92">
        <f>O49+O50</f>
        <v>77436.959999999992</v>
      </c>
    </row>
    <row r="50" spans="1:18" s="4" customFormat="1" ht="15.75" thickBot="1">
      <c r="A50" s="231"/>
      <c r="B50" s="241"/>
      <c r="C50" s="130" t="s">
        <v>142</v>
      </c>
      <c r="D50" s="193"/>
      <c r="E50" s="68"/>
      <c r="F50" s="54"/>
      <c r="G50" s="68"/>
      <c r="H50" s="68"/>
      <c r="I50" s="54"/>
      <c r="J50" s="155"/>
      <c r="K50" s="55">
        <f t="shared" si="3"/>
        <v>39193.53</v>
      </c>
      <c r="L50" s="64"/>
      <c r="M50" s="294"/>
      <c r="N50" s="295">
        <f>E50*M50</f>
        <v>0</v>
      </c>
      <c r="O50" s="306">
        <f>2550+609.19+909.85+990+960+1739+2570+2400+3885.89+5749.11+2903.03+1805.12+683.34+979+4600+4780+1080</f>
        <v>39193.53</v>
      </c>
      <c r="P50" s="4" t="s">
        <v>47</v>
      </c>
      <c r="Q50" s="91"/>
      <c r="R50" s="90"/>
    </row>
    <row r="51" spans="1:18" ht="38.25" customHeight="1" thickBot="1">
      <c r="A51" s="195" t="s">
        <v>14</v>
      </c>
      <c r="B51" s="196" t="s">
        <v>59</v>
      </c>
      <c r="C51" s="197" t="s">
        <v>250</v>
      </c>
      <c r="D51" s="198"/>
      <c r="E51" s="198"/>
      <c r="F51" s="199"/>
      <c r="G51" s="200"/>
      <c r="H51" s="199"/>
      <c r="I51" s="199"/>
      <c r="J51" s="201"/>
      <c r="K51" s="202">
        <f t="shared" si="3"/>
        <v>15149.01</v>
      </c>
      <c r="L51" s="203"/>
      <c r="M51" s="307"/>
      <c r="N51" s="308"/>
      <c r="O51" s="309">
        <f>450+1149+359+1794+362+325+489+2419+2729+3290+424.01+1359</f>
        <v>15149.01</v>
      </c>
      <c r="P51" s="149" t="s">
        <v>251</v>
      </c>
      <c r="Q51" s="86"/>
      <c r="R51" s="85"/>
    </row>
    <row r="52" spans="1:18" s="4" customFormat="1" ht="29.25" customHeight="1">
      <c r="A52" s="231" t="s">
        <v>15</v>
      </c>
      <c r="B52" s="240" t="s">
        <v>145</v>
      </c>
      <c r="C52" s="194" t="s">
        <v>303</v>
      </c>
      <c r="D52" s="194">
        <v>1964</v>
      </c>
      <c r="E52" s="142"/>
      <c r="F52" s="143" t="s">
        <v>304</v>
      </c>
      <c r="G52" s="183"/>
      <c r="H52" s="143"/>
      <c r="I52" s="143" t="s">
        <v>74</v>
      </c>
      <c r="J52" s="144"/>
      <c r="K52" s="145">
        <f t="shared" ref="K52:K56" si="4">IF(N52&gt;O52,N52,O52)</f>
        <v>6290000</v>
      </c>
      <c r="L52" s="146" t="s">
        <v>241</v>
      </c>
      <c r="M52" s="302"/>
      <c r="N52" s="303">
        <v>6290000</v>
      </c>
      <c r="O52" s="304">
        <v>3732902.51</v>
      </c>
      <c r="P52" s="153" t="s">
        <v>46</v>
      </c>
      <c r="Q52" s="91"/>
      <c r="R52" s="90"/>
    </row>
    <row r="53" spans="1:18" s="4" customFormat="1" ht="26.25">
      <c r="A53" s="231"/>
      <c r="B53" s="240"/>
      <c r="C53" s="154" t="s">
        <v>146</v>
      </c>
      <c r="D53" s="154">
        <v>1964</v>
      </c>
      <c r="E53" s="13"/>
      <c r="F53" s="10"/>
      <c r="G53" s="11"/>
      <c r="H53" s="10"/>
      <c r="I53" s="10"/>
      <c r="J53" s="148"/>
      <c r="K53" s="12">
        <f t="shared" si="4"/>
        <v>13636.4</v>
      </c>
      <c r="L53" s="63" t="s">
        <v>242</v>
      </c>
      <c r="M53" s="290">
        <v>800</v>
      </c>
      <c r="N53" s="291">
        <f t="shared" ref="N53:N59" si="5">M53*E53</f>
        <v>0</v>
      </c>
      <c r="O53" s="305">
        <v>13636.4</v>
      </c>
      <c r="P53" s="153" t="s">
        <v>46</v>
      </c>
      <c r="Q53" s="91" t="s">
        <v>46</v>
      </c>
      <c r="R53" s="92">
        <f>O52+O53+O54</f>
        <v>4106774.4099999997</v>
      </c>
    </row>
    <row r="54" spans="1:18" s="4" customFormat="1">
      <c r="A54" s="231"/>
      <c r="B54" s="240"/>
      <c r="C54" s="154" t="s">
        <v>279</v>
      </c>
      <c r="D54" s="154">
        <v>1980</v>
      </c>
      <c r="E54" s="13"/>
      <c r="F54" s="10"/>
      <c r="G54" s="11"/>
      <c r="H54" s="10"/>
      <c r="I54" s="10"/>
      <c r="J54" s="148"/>
      <c r="K54" s="12">
        <f t="shared" si="4"/>
        <v>360235.5</v>
      </c>
      <c r="L54" s="63" t="s">
        <v>242</v>
      </c>
      <c r="M54" s="290">
        <v>800</v>
      </c>
      <c r="N54" s="291">
        <f t="shared" si="5"/>
        <v>0</v>
      </c>
      <c r="O54" s="305">
        <v>360235.5</v>
      </c>
      <c r="P54" s="153" t="s">
        <v>46</v>
      </c>
      <c r="Q54" s="91" t="s">
        <v>47</v>
      </c>
      <c r="R54" s="92">
        <f>O56+O59</f>
        <v>55753.85</v>
      </c>
    </row>
    <row r="55" spans="1:18" s="4" customFormat="1">
      <c r="A55" s="231"/>
      <c r="B55" s="240"/>
      <c r="C55" s="154" t="s">
        <v>250</v>
      </c>
      <c r="D55" s="154"/>
      <c r="E55" s="68"/>
      <c r="F55" s="54"/>
      <c r="G55" s="69"/>
      <c r="H55" s="54"/>
      <c r="I55" s="54"/>
      <c r="J55" s="155"/>
      <c r="K55" s="12">
        <f t="shared" si="4"/>
        <v>134930.28999999998</v>
      </c>
      <c r="L55" s="64"/>
      <c r="M55" s="294"/>
      <c r="N55" s="295"/>
      <c r="O55" s="306">
        <f>423*5+645+1289+1039+1171.31+1199+1599+2416+15525+1707+8723+979+1099+2205+7623+18100+2139*4+852*4+664*2+322+1316.45+784+195+1199+310+680+714+1250+209+3414.78+1897.1+699.06+148+79+79+518+87+2632.79+245+243+2137+2473+1842.2+3372+3281.8+2769+1929+1889+2499+1099+1499+1539+329+1899+2049+1647+3281.8+1647</f>
        <v>134930.28999999998</v>
      </c>
      <c r="P55" s="153" t="s">
        <v>251</v>
      </c>
      <c r="Q55" s="91"/>
      <c r="R55" s="92"/>
    </row>
    <row r="56" spans="1:18" s="4" customFormat="1" ht="15.75" thickBot="1">
      <c r="A56" s="231"/>
      <c r="B56" s="240"/>
      <c r="C56" s="155" t="s">
        <v>50</v>
      </c>
      <c r="D56" s="68"/>
      <c r="E56" s="68"/>
      <c r="F56" s="54"/>
      <c r="G56" s="69"/>
      <c r="H56" s="54"/>
      <c r="I56" s="54"/>
      <c r="J56" s="155"/>
      <c r="K56" s="55">
        <f t="shared" si="4"/>
        <v>52600.85</v>
      </c>
      <c r="L56" s="64"/>
      <c r="M56" s="294"/>
      <c r="N56" s="295">
        <f t="shared" si="5"/>
        <v>0</v>
      </c>
      <c r="O56" s="306">
        <f>4338.83+5612+5800+5800+4100+3500+9490+63+211.06+57.34+1818+1120+1159+295+160+220+444.6+455.9+1870+350+349+449+359+799+229.99+299+800+710.01+571.12+390*3</f>
        <v>52600.85</v>
      </c>
      <c r="P56" s="153" t="s">
        <v>47</v>
      </c>
      <c r="Q56" s="91"/>
      <c r="R56" s="90"/>
    </row>
    <row r="57" spans="1:18" s="4" customFormat="1" ht="31.5" customHeight="1">
      <c r="A57" s="219" t="s">
        <v>16</v>
      </c>
      <c r="B57" s="226" t="s">
        <v>149</v>
      </c>
      <c r="C57" s="159" t="s">
        <v>150</v>
      </c>
      <c r="D57" s="57" t="s">
        <v>151</v>
      </c>
      <c r="E57" s="57">
        <v>380</v>
      </c>
      <c r="F57" s="57" t="s">
        <v>152</v>
      </c>
      <c r="G57" s="57" t="s">
        <v>66</v>
      </c>
      <c r="H57" s="57" t="s">
        <v>17</v>
      </c>
      <c r="I57" s="57" t="s">
        <v>74</v>
      </c>
      <c r="J57" s="57"/>
      <c r="K57" s="59">
        <f t="shared" ref="K57:K63" si="6">IF(N57&gt;O57,N57,O57)</f>
        <v>950000</v>
      </c>
      <c r="L57" s="131" t="s">
        <v>241</v>
      </c>
      <c r="M57" s="297">
        <v>2500</v>
      </c>
      <c r="N57" s="288">
        <f t="shared" si="5"/>
        <v>950000</v>
      </c>
      <c r="O57" s="298">
        <v>654433.61</v>
      </c>
      <c r="P57" s="4" t="s">
        <v>46</v>
      </c>
      <c r="Q57" s="91"/>
      <c r="R57" s="90"/>
    </row>
    <row r="58" spans="1:18" s="4" customFormat="1" ht="31.5" customHeight="1">
      <c r="A58" s="230"/>
      <c r="B58" s="227"/>
      <c r="C58" s="160" t="s">
        <v>250</v>
      </c>
      <c r="D58" s="10"/>
      <c r="E58" s="10"/>
      <c r="F58" s="10"/>
      <c r="G58" s="10"/>
      <c r="H58" s="10"/>
      <c r="I58" s="10"/>
      <c r="J58" s="10"/>
      <c r="K58" s="12">
        <f t="shared" si="6"/>
        <v>58332</v>
      </c>
      <c r="L58" s="161"/>
      <c r="M58" s="310"/>
      <c r="N58" s="291"/>
      <c r="O58" s="293">
        <f>3140+20182+2219+253+1019+11339+219+1998+1650+748+275+488+1989+2778+3470+399+1888+2699+1579</f>
        <v>58332</v>
      </c>
      <c r="P58" s="4" t="s">
        <v>251</v>
      </c>
      <c r="Q58" s="91"/>
      <c r="R58" s="90"/>
    </row>
    <row r="59" spans="1:18" s="4" customFormat="1" ht="16.5" customHeight="1" thickBot="1">
      <c r="A59" s="239"/>
      <c r="B59" s="228"/>
      <c r="C59" s="173" t="s">
        <v>50</v>
      </c>
      <c r="D59" s="54"/>
      <c r="E59" s="54"/>
      <c r="F59" s="54"/>
      <c r="G59" s="54"/>
      <c r="H59" s="54"/>
      <c r="I59" s="54"/>
      <c r="J59" s="54"/>
      <c r="K59" s="55">
        <f t="shared" si="6"/>
        <v>3153</v>
      </c>
      <c r="L59" s="174"/>
      <c r="M59" s="311"/>
      <c r="N59" s="295">
        <f t="shared" si="5"/>
        <v>0</v>
      </c>
      <c r="O59" s="296">
        <f>600+400+270+1130+212*2+329</f>
        <v>3153</v>
      </c>
      <c r="P59" s="4" t="s">
        <v>47</v>
      </c>
      <c r="Q59" s="91"/>
      <c r="R59" s="90"/>
    </row>
    <row r="60" spans="1:18" ht="59.25" customHeight="1">
      <c r="A60" s="219" t="s">
        <v>18</v>
      </c>
      <c r="B60" s="217" t="s">
        <v>237</v>
      </c>
      <c r="C60" s="175" t="s">
        <v>243</v>
      </c>
      <c r="D60" s="176" t="s">
        <v>153</v>
      </c>
      <c r="E60" s="56">
        <v>1616</v>
      </c>
      <c r="F60" s="57" t="s">
        <v>72</v>
      </c>
      <c r="G60" s="58" t="s">
        <v>17</v>
      </c>
      <c r="H60" s="57" t="s">
        <v>154</v>
      </c>
      <c r="I60" s="57" t="s">
        <v>155</v>
      </c>
      <c r="J60" s="175"/>
      <c r="K60" s="59">
        <f t="shared" si="6"/>
        <v>4838924.59</v>
      </c>
      <c r="L60" s="131" t="s">
        <v>241</v>
      </c>
      <c r="M60" s="297">
        <v>2500</v>
      </c>
      <c r="N60" s="288">
        <v>4838924.59</v>
      </c>
      <c r="O60" s="298">
        <v>2838924.59</v>
      </c>
      <c r="P60" s="204" t="s">
        <v>46</v>
      </c>
      <c r="Q60" s="86" t="s">
        <v>46</v>
      </c>
      <c r="R60" s="93">
        <f>K60+K63+K64+K65</f>
        <v>8992449.5899999999</v>
      </c>
    </row>
    <row r="61" spans="1:18" ht="22.5" customHeight="1">
      <c r="A61" s="230"/>
      <c r="B61" s="229"/>
      <c r="C61" s="148" t="s">
        <v>250</v>
      </c>
      <c r="D61" s="177"/>
      <c r="E61" s="13"/>
      <c r="F61" s="10"/>
      <c r="G61" s="11"/>
      <c r="H61" s="10"/>
      <c r="I61" s="10"/>
      <c r="J61" s="148"/>
      <c r="K61" s="12">
        <f t="shared" si="6"/>
        <v>82211.19</v>
      </c>
      <c r="L61" s="161"/>
      <c r="M61" s="310"/>
      <c r="N61" s="291"/>
      <c r="O61" s="293">
        <f>2188*4+1449+529+1250*4+87+57+3140+2242*10+250+1030*10+220+1954.2+521+1080+699.99+2000+1539+430+3500+3050+4305+1250+2778+2300+3000+1600</f>
        <v>82211.19</v>
      </c>
      <c r="P61" s="205" t="s">
        <v>251</v>
      </c>
      <c r="Q61" s="86"/>
      <c r="R61" s="93"/>
    </row>
    <row r="62" spans="1:18" ht="21.75" customHeight="1" thickBot="1">
      <c r="A62" s="220"/>
      <c r="B62" s="218"/>
      <c r="C62" s="178" t="s">
        <v>282</v>
      </c>
      <c r="D62" s="179"/>
      <c r="E62" s="180"/>
      <c r="F62" s="156"/>
      <c r="G62" s="181"/>
      <c r="H62" s="156"/>
      <c r="I62" s="156"/>
      <c r="J62" s="178"/>
      <c r="K62" s="157">
        <f t="shared" si="6"/>
        <v>47430.17</v>
      </c>
      <c r="L62" s="162"/>
      <c r="M62" s="312"/>
      <c r="N62" s="313"/>
      <c r="O62" s="314">
        <f>80+600*2+185+375.19+799+999+749.99+389+522+4950+800+31001+2900+1799.99+680</f>
        <v>47430.17</v>
      </c>
      <c r="P62" s="206" t="s">
        <v>47</v>
      </c>
      <c r="Q62" s="86"/>
      <c r="R62" s="93"/>
    </row>
    <row r="63" spans="1:18" ht="39.75" customHeight="1">
      <c r="A63" s="237" t="s">
        <v>51</v>
      </c>
      <c r="B63" s="232" t="s">
        <v>158</v>
      </c>
      <c r="C63" s="182" t="s">
        <v>289</v>
      </c>
      <c r="D63" s="142">
        <v>1958</v>
      </c>
      <c r="E63" s="142">
        <v>1430.11</v>
      </c>
      <c r="F63" s="143" t="s">
        <v>72</v>
      </c>
      <c r="G63" s="183" t="s">
        <v>162</v>
      </c>
      <c r="H63" s="184" t="s">
        <v>17</v>
      </c>
      <c r="I63" s="143" t="s">
        <v>74</v>
      </c>
      <c r="J63" s="144" t="s">
        <v>163</v>
      </c>
      <c r="K63" s="145">
        <f t="shared" si="6"/>
        <v>3575274.9999999995</v>
      </c>
      <c r="L63" s="146" t="s">
        <v>241</v>
      </c>
      <c r="M63" s="302">
        <v>2500</v>
      </c>
      <c r="N63" s="303">
        <f>M63*E63</f>
        <v>3575274.9999999995</v>
      </c>
      <c r="O63" s="315">
        <v>605061.73</v>
      </c>
      <c r="P63" s="185" t="s">
        <v>46</v>
      </c>
      <c r="Q63" s="86" t="s">
        <v>47</v>
      </c>
      <c r="R63" s="94">
        <f>K71</f>
        <v>78330.539999999994</v>
      </c>
    </row>
    <row r="64" spans="1:18" ht="31.5" customHeight="1" thickBot="1">
      <c r="A64" s="237"/>
      <c r="B64" s="227"/>
      <c r="C64" s="186" t="s">
        <v>290</v>
      </c>
      <c r="D64" s="13" t="s">
        <v>164</v>
      </c>
      <c r="E64" s="13">
        <v>87.1</v>
      </c>
      <c r="F64" s="10" t="s">
        <v>72</v>
      </c>
      <c r="G64" s="11" t="s">
        <v>17</v>
      </c>
      <c r="H64" s="187" t="s">
        <v>66</v>
      </c>
      <c r="I64" s="10" t="s">
        <v>67</v>
      </c>
      <c r="J64" s="148"/>
      <c r="K64" s="12">
        <f t="shared" ref="K64:K71" si="7">IF(N64&gt;O64,N64,O64)</f>
        <v>217750</v>
      </c>
      <c r="L64" s="63" t="s">
        <v>242</v>
      </c>
      <c r="M64" s="290">
        <v>2500</v>
      </c>
      <c r="N64" s="291">
        <f>M64*E64</f>
        <v>217750</v>
      </c>
      <c r="O64" s="293">
        <v>130650</v>
      </c>
      <c r="P64" s="185" t="s">
        <v>46</v>
      </c>
      <c r="Q64" s="86"/>
      <c r="R64" s="85"/>
    </row>
    <row r="65" spans="1:18" ht="39">
      <c r="A65" s="237"/>
      <c r="B65" s="227"/>
      <c r="C65" s="186" t="s">
        <v>291</v>
      </c>
      <c r="D65" s="13">
        <v>1905</v>
      </c>
      <c r="E65" s="13">
        <v>144.19999999999999</v>
      </c>
      <c r="F65" s="10" t="s">
        <v>72</v>
      </c>
      <c r="G65" s="188" t="s">
        <v>162</v>
      </c>
      <c r="H65" s="187" t="s">
        <v>17</v>
      </c>
      <c r="I65" s="10" t="s">
        <v>74</v>
      </c>
      <c r="J65" s="148" t="s">
        <v>165</v>
      </c>
      <c r="K65" s="12">
        <f t="shared" si="7"/>
        <v>360500</v>
      </c>
      <c r="L65" s="63" t="s">
        <v>241</v>
      </c>
      <c r="M65" s="290">
        <v>2500</v>
      </c>
      <c r="N65" s="291">
        <f>M65*E65</f>
        <v>360500</v>
      </c>
      <c r="O65" s="293">
        <v>204844.98</v>
      </c>
      <c r="P65" s="185" t="s">
        <v>46</v>
      </c>
      <c r="Q65" s="86"/>
      <c r="R65" s="85"/>
    </row>
    <row r="66" spans="1:18">
      <c r="A66" s="237"/>
      <c r="B66" s="228"/>
      <c r="C66" s="190" t="s">
        <v>286</v>
      </c>
      <c r="D66" s="68">
        <v>2014</v>
      </c>
      <c r="E66" s="68"/>
      <c r="F66" s="54"/>
      <c r="G66" s="11"/>
      <c r="H66" s="189"/>
      <c r="I66" s="54"/>
      <c r="J66" s="155"/>
      <c r="K66" s="12">
        <f t="shared" si="7"/>
        <v>60000</v>
      </c>
      <c r="L66" s="64" t="s">
        <v>241</v>
      </c>
      <c r="M66" s="294"/>
      <c r="N66" s="295"/>
      <c r="O66" s="296">
        <v>60000</v>
      </c>
      <c r="P66" s="185" t="s">
        <v>48</v>
      </c>
      <c r="Q66" s="86"/>
      <c r="R66" s="85"/>
    </row>
    <row r="67" spans="1:18">
      <c r="A67" s="237"/>
      <c r="B67" s="228"/>
      <c r="C67" s="207" t="s">
        <v>306</v>
      </c>
      <c r="D67" s="68"/>
      <c r="E67" s="68"/>
      <c r="F67" s="54"/>
      <c r="G67" s="11"/>
      <c r="H67" s="189"/>
      <c r="I67" s="54"/>
      <c r="J67" s="155"/>
      <c r="K67" s="12">
        <f t="shared" si="7"/>
        <v>35000</v>
      </c>
      <c r="L67" s="64" t="s">
        <v>241</v>
      </c>
      <c r="M67" s="294"/>
      <c r="N67" s="295"/>
      <c r="O67" s="296">
        <v>35000</v>
      </c>
      <c r="P67" s="185" t="s">
        <v>48</v>
      </c>
      <c r="Q67" s="86"/>
      <c r="R67" s="85"/>
    </row>
    <row r="68" spans="1:18">
      <c r="A68" s="237"/>
      <c r="B68" s="228"/>
      <c r="C68" s="79" t="s">
        <v>292</v>
      </c>
      <c r="D68" s="68"/>
      <c r="E68" s="68"/>
      <c r="F68" s="54"/>
      <c r="G68" s="11"/>
      <c r="H68" s="189"/>
      <c r="I68" s="54"/>
      <c r="J68" s="155"/>
      <c r="K68" s="12">
        <f t="shared" si="7"/>
        <v>55000</v>
      </c>
      <c r="L68" s="64" t="s">
        <v>241</v>
      </c>
      <c r="M68" s="294"/>
      <c r="N68" s="295"/>
      <c r="O68" s="296">
        <v>55000</v>
      </c>
      <c r="P68" s="185" t="s">
        <v>48</v>
      </c>
      <c r="Q68" s="86"/>
      <c r="R68" s="85"/>
    </row>
    <row r="69" spans="1:18">
      <c r="A69" s="237"/>
      <c r="B69" s="228"/>
      <c r="C69" s="79" t="s">
        <v>293</v>
      </c>
      <c r="D69" s="68"/>
      <c r="E69" s="68"/>
      <c r="F69" s="54"/>
      <c r="G69" s="11"/>
      <c r="H69" s="189"/>
      <c r="I69" s="54"/>
      <c r="J69" s="155"/>
      <c r="K69" s="12">
        <f t="shared" si="7"/>
        <v>20000</v>
      </c>
      <c r="L69" s="64" t="s">
        <v>241</v>
      </c>
      <c r="M69" s="294"/>
      <c r="N69" s="295"/>
      <c r="O69" s="296">
        <v>20000</v>
      </c>
      <c r="P69" s="185" t="s">
        <v>48</v>
      </c>
      <c r="Q69" s="86"/>
      <c r="R69" s="85"/>
    </row>
    <row r="70" spans="1:18">
      <c r="A70" s="237"/>
      <c r="B70" s="228"/>
      <c r="C70" s="79" t="s">
        <v>250</v>
      </c>
      <c r="D70" s="68"/>
      <c r="E70" s="68"/>
      <c r="F70" s="54"/>
      <c r="G70" s="11"/>
      <c r="H70" s="189"/>
      <c r="I70" s="54"/>
      <c r="J70" s="155"/>
      <c r="K70" s="12">
        <f t="shared" si="7"/>
        <v>98359.22</v>
      </c>
      <c r="L70" s="64"/>
      <c r="M70" s="294"/>
      <c r="N70" s="295"/>
      <c r="O70" s="296">
        <f>339+1019*2+195+784+793*3+2992+8752+3408+669+8368+4960+5000+439+389+1458+579+1499+2123+799+1604+359+329+179+499+1739+175+1250+4992.24+799+530+959+3372+2137+3817+4349+2499+1900+2119+1197+2199+2500+1400+600+1998.99+699+1169+2119+379+755.99+2565</f>
        <v>98359.22</v>
      </c>
      <c r="P70" s="185" t="s">
        <v>251</v>
      </c>
      <c r="Q70" s="86"/>
      <c r="R70" s="85"/>
    </row>
    <row r="71" spans="1:18" ht="31.5" customHeight="1" thickBot="1">
      <c r="A71" s="238"/>
      <c r="B71" s="233"/>
      <c r="C71" s="178" t="s">
        <v>285</v>
      </c>
      <c r="D71" s="180"/>
      <c r="E71" s="180"/>
      <c r="F71" s="156"/>
      <c r="G71" s="181"/>
      <c r="H71" s="132"/>
      <c r="I71" s="156"/>
      <c r="J71" s="178"/>
      <c r="K71" s="157">
        <f t="shared" si="7"/>
        <v>78330.539999999994</v>
      </c>
      <c r="L71" s="158"/>
      <c r="M71" s="316"/>
      <c r="N71" s="313">
        <f>M71*E71</f>
        <v>0</v>
      </c>
      <c r="O71" s="314">
        <f>2200+1450+15349+1503.25+50000+4702.29+1079+597+1450</f>
        <v>78330.539999999994</v>
      </c>
      <c r="P71" s="185" t="s">
        <v>47</v>
      </c>
      <c r="Q71" s="86"/>
      <c r="R71" s="85"/>
    </row>
    <row r="72" spans="1:18" ht="17.25" customHeight="1">
      <c r="A72" s="85"/>
      <c r="B72" s="95"/>
      <c r="C72" s="85"/>
      <c r="D72" s="96"/>
      <c r="E72" s="96"/>
      <c r="F72" s="96"/>
      <c r="G72" s="96"/>
      <c r="H72" s="96"/>
      <c r="I72" s="97"/>
      <c r="J72" s="85"/>
      <c r="K72" s="98">
        <f>SUM(K3:K71)</f>
        <v>32760697.669999994</v>
      </c>
      <c r="L72" s="96"/>
      <c r="P72" s="85"/>
      <c r="Q72" s="86"/>
      <c r="R72" s="85"/>
    </row>
    <row r="76" spans="1:18" hidden="1"/>
    <row r="77" spans="1:18" hidden="1">
      <c r="C77" t="s">
        <v>88</v>
      </c>
    </row>
    <row r="78" spans="1:18" hidden="1">
      <c r="C78" t="s">
        <v>89</v>
      </c>
    </row>
    <row r="79" spans="1:18" hidden="1">
      <c r="C79" t="s">
        <v>87</v>
      </c>
    </row>
    <row r="80" spans="1:18" hidden="1"/>
  </sheetData>
  <mergeCells count="25">
    <mergeCell ref="B60:B62"/>
    <mergeCell ref="A60:A62"/>
    <mergeCell ref="A47:A50"/>
    <mergeCell ref="B63:B71"/>
    <mergeCell ref="K1:K2"/>
    <mergeCell ref="J1:J2"/>
    <mergeCell ref="A52:A56"/>
    <mergeCell ref="A63:A71"/>
    <mergeCell ref="A57:A59"/>
    <mergeCell ref="B52:B56"/>
    <mergeCell ref="B57:B59"/>
    <mergeCell ref="B47:B50"/>
    <mergeCell ref="F1:I1"/>
    <mergeCell ref="E1:E2"/>
    <mergeCell ref="C1:C2"/>
    <mergeCell ref="D1:D2"/>
    <mergeCell ref="B1:B2"/>
    <mergeCell ref="B45:B46"/>
    <mergeCell ref="A45:A46"/>
    <mergeCell ref="O1:O2"/>
    <mergeCell ref="N1:N2"/>
    <mergeCell ref="M1:M2"/>
    <mergeCell ref="A1:A2"/>
    <mergeCell ref="A3:A44"/>
    <mergeCell ref="B3:B44"/>
  </mergeCells>
  <phoneticPr fontId="2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41" workbookViewId="0">
      <selection activeCell="C60" sqref="C60"/>
    </sheetView>
  </sheetViews>
  <sheetFormatPr defaultRowHeight="12.75"/>
  <cols>
    <col min="1" max="1" width="3.85546875" style="6" bestFit="1" customWidth="1"/>
    <col min="2" max="2" width="17.7109375" style="6" customWidth="1"/>
    <col min="3" max="3" width="20.42578125" style="6" customWidth="1"/>
    <col min="4" max="4" width="42.5703125" style="30" customWidth="1"/>
    <col min="5" max="5" width="13.42578125" style="26" customWidth="1"/>
    <col min="6" max="6" width="13.42578125" style="6" bestFit="1" customWidth="1"/>
    <col min="7" max="7" width="12.5703125" style="6" bestFit="1" customWidth="1"/>
    <col min="8" max="16384" width="9.140625" style="6"/>
  </cols>
  <sheetData>
    <row r="1" spans="1:6" ht="15" customHeight="1">
      <c r="A1" s="24" t="s">
        <v>60</v>
      </c>
      <c r="B1" s="25"/>
      <c r="C1" s="25"/>
      <c r="D1" s="27"/>
      <c r="E1" s="109"/>
    </row>
    <row r="2" spans="1:6">
      <c r="A2" s="81" t="s">
        <v>24</v>
      </c>
      <c r="B2" s="252" t="s">
        <v>25</v>
      </c>
      <c r="C2" s="252"/>
      <c r="D2" s="28" t="s">
        <v>23</v>
      </c>
      <c r="E2" s="109"/>
    </row>
    <row r="3" spans="1:6">
      <c r="A3" s="8" t="s">
        <v>11</v>
      </c>
      <c r="B3" s="251" t="s">
        <v>26</v>
      </c>
      <c r="C3" s="251"/>
      <c r="D3" s="29">
        <f>2447.7+6998.7+2189+5541.33+549+2740.2+1978+3879.28+3413.25+3413.25*2+2650+2720+1549+4805+749+650+4085+33181.61</f>
        <v>86952.57</v>
      </c>
      <c r="E3" s="109" t="s">
        <v>45</v>
      </c>
    </row>
    <row r="4" spans="1:6" ht="15">
      <c r="A4" s="8" t="s">
        <v>19</v>
      </c>
      <c r="B4" s="259" t="s">
        <v>321</v>
      </c>
      <c r="C4" s="260"/>
      <c r="D4" s="29">
        <v>19677.54</v>
      </c>
      <c r="E4" s="109" t="s">
        <v>45</v>
      </c>
    </row>
    <row r="5" spans="1:6">
      <c r="A5" s="8" t="s">
        <v>20</v>
      </c>
      <c r="B5" s="251" t="s">
        <v>27</v>
      </c>
      <c r="C5" s="251"/>
      <c r="D5" s="29">
        <f>4378.8+6600+3742.89*2+2869+2549</f>
        <v>23882.579999999998</v>
      </c>
      <c r="E5" s="109" t="s">
        <v>44</v>
      </c>
    </row>
    <row r="6" spans="1:6" ht="15" customHeight="1">
      <c r="A6" s="24" t="s">
        <v>61</v>
      </c>
      <c r="B6" s="25"/>
      <c r="C6" s="25"/>
      <c r="D6" s="27"/>
      <c r="E6" s="109"/>
    </row>
    <row r="7" spans="1:6">
      <c r="A7" s="81" t="s">
        <v>24</v>
      </c>
      <c r="B7" s="252" t="s">
        <v>25</v>
      </c>
      <c r="C7" s="252"/>
      <c r="D7" s="28" t="s">
        <v>23</v>
      </c>
      <c r="E7" s="109"/>
    </row>
    <row r="8" spans="1:6">
      <c r="A8" s="8" t="s">
        <v>11</v>
      </c>
      <c r="B8" s="251" t="s">
        <v>26</v>
      </c>
      <c r="C8" s="251"/>
      <c r="D8" s="29">
        <f>2589+439+609.5+2530+2999+3382.5+1285</f>
        <v>13834</v>
      </c>
      <c r="E8" s="109" t="s">
        <v>45</v>
      </c>
      <c r="F8" s="44"/>
    </row>
    <row r="9" spans="1:6">
      <c r="A9" s="8" t="s">
        <v>12</v>
      </c>
      <c r="B9" s="256" t="s">
        <v>28</v>
      </c>
      <c r="C9" s="257"/>
      <c r="D9" s="29">
        <v>8000</v>
      </c>
      <c r="E9" s="109" t="s">
        <v>45</v>
      </c>
      <c r="F9" s="44"/>
    </row>
    <row r="10" spans="1:6">
      <c r="A10" s="8" t="s">
        <v>13</v>
      </c>
      <c r="B10" s="82" t="s">
        <v>29</v>
      </c>
      <c r="C10" s="83"/>
      <c r="D10" s="29">
        <f>99.99+269.99</f>
        <v>369.98</v>
      </c>
      <c r="E10" s="109" t="s">
        <v>45</v>
      </c>
      <c r="F10" s="44"/>
    </row>
    <row r="11" spans="1:6">
      <c r="A11" s="8" t="s">
        <v>14</v>
      </c>
      <c r="B11" s="251" t="s">
        <v>302</v>
      </c>
      <c r="C11" s="251"/>
      <c r="D11" s="29">
        <f>2725+2514+1469.28+1469.28+5000</f>
        <v>13177.56</v>
      </c>
      <c r="E11" s="109" t="s">
        <v>44</v>
      </c>
    </row>
    <row r="12" spans="1:6" hidden="1">
      <c r="A12" s="100" t="s">
        <v>14</v>
      </c>
      <c r="B12" s="253" t="s">
        <v>30</v>
      </c>
      <c r="C12" s="254"/>
      <c r="D12" s="101"/>
      <c r="E12" s="99" t="s">
        <v>43</v>
      </c>
    </row>
    <row r="13" spans="1:6" ht="15" customHeight="1">
      <c r="A13" s="24" t="s">
        <v>58</v>
      </c>
      <c r="B13" s="25"/>
      <c r="C13" s="25"/>
      <c r="D13" s="27"/>
      <c r="E13" s="109"/>
    </row>
    <row r="14" spans="1:6">
      <c r="A14" s="84" t="s">
        <v>24</v>
      </c>
      <c r="B14" s="252" t="s">
        <v>25</v>
      </c>
      <c r="C14" s="252"/>
      <c r="D14" s="28" t="s">
        <v>23</v>
      </c>
      <c r="E14" s="109"/>
    </row>
    <row r="15" spans="1:6">
      <c r="A15" s="8" t="s">
        <v>11</v>
      </c>
      <c r="B15" s="251" t="s">
        <v>26</v>
      </c>
      <c r="C15" s="251"/>
      <c r="D15" s="29">
        <f>3150</f>
        <v>3150</v>
      </c>
      <c r="E15" s="109" t="s">
        <v>45</v>
      </c>
    </row>
    <row r="16" spans="1:6" ht="15">
      <c r="A16" s="8" t="s">
        <v>14</v>
      </c>
      <c r="B16" s="256" t="s">
        <v>322</v>
      </c>
      <c r="C16" s="258"/>
      <c r="D16" s="29">
        <f>359+289+537+3938+7600+12600+1770</f>
        <v>27093</v>
      </c>
      <c r="E16" s="109" t="s">
        <v>45</v>
      </c>
      <c r="F16" s="44"/>
    </row>
    <row r="17" spans="1:7">
      <c r="A17" s="8" t="s">
        <v>16</v>
      </c>
      <c r="B17" s="251" t="s">
        <v>27</v>
      </c>
      <c r="C17" s="251"/>
      <c r="D17" s="29">
        <f>1759+2859</f>
        <v>4618</v>
      </c>
      <c r="E17" s="109" t="s">
        <v>44</v>
      </c>
      <c r="F17" s="17"/>
    </row>
    <row r="18" spans="1:7" hidden="1">
      <c r="A18" s="100" t="s">
        <v>18</v>
      </c>
      <c r="B18" s="253" t="s">
        <v>30</v>
      </c>
      <c r="C18" s="254"/>
      <c r="D18" s="102"/>
      <c r="E18" s="99" t="s">
        <v>43</v>
      </c>
    </row>
    <row r="19" spans="1:7" ht="15" customHeight="1">
      <c r="A19" s="24" t="s">
        <v>62</v>
      </c>
      <c r="B19" s="25"/>
      <c r="C19" s="25"/>
      <c r="D19" s="27"/>
      <c r="E19" s="109"/>
    </row>
    <row r="20" spans="1:7">
      <c r="A20" s="84" t="s">
        <v>24</v>
      </c>
      <c r="B20" s="252" t="s">
        <v>25</v>
      </c>
      <c r="C20" s="252"/>
      <c r="D20" s="28" t="s">
        <v>23</v>
      </c>
      <c r="E20" s="109"/>
    </row>
    <row r="21" spans="1:7" ht="15">
      <c r="A21" s="150" t="s">
        <v>11</v>
      </c>
      <c r="B21" s="264" t="s">
        <v>26</v>
      </c>
      <c r="C21" s="265"/>
      <c r="D21" s="151">
        <f>2199+2648.99+3159</f>
        <v>8006.99</v>
      </c>
      <c r="E21" s="109" t="s">
        <v>45</v>
      </c>
    </row>
    <row r="22" spans="1:7">
      <c r="A22" s="8" t="s">
        <v>12</v>
      </c>
      <c r="B22" s="251" t="s">
        <v>27</v>
      </c>
      <c r="C22" s="251"/>
      <c r="D22" s="152">
        <f>1399+1978.96+1679+3400+1799.99+948.99+1740.45</f>
        <v>12946.39</v>
      </c>
      <c r="E22" s="109" t="s">
        <v>44</v>
      </c>
      <c r="F22" s="44"/>
    </row>
    <row r="23" spans="1:7" hidden="1">
      <c r="A23" s="100" t="s">
        <v>14</v>
      </c>
      <c r="B23" s="253" t="s">
        <v>30</v>
      </c>
      <c r="C23" s="254"/>
      <c r="D23" s="102"/>
      <c r="E23" s="99" t="s">
        <v>43</v>
      </c>
    </row>
    <row r="24" spans="1:7" ht="15" customHeight="1">
      <c r="A24" s="163" t="s">
        <v>147</v>
      </c>
      <c r="B24" s="164"/>
      <c r="C24" s="164"/>
      <c r="D24" s="165"/>
      <c r="E24" s="109"/>
    </row>
    <row r="25" spans="1:7">
      <c r="A25" s="166" t="s">
        <v>24</v>
      </c>
      <c r="B25" s="247" t="s">
        <v>25</v>
      </c>
      <c r="C25" s="247"/>
      <c r="D25" s="167" t="s">
        <v>23</v>
      </c>
      <c r="E25" s="109"/>
    </row>
    <row r="26" spans="1:7">
      <c r="A26" s="168" t="s">
        <v>11</v>
      </c>
      <c r="B26" s="248" t="s">
        <v>26</v>
      </c>
      <c r="C26" s="248"/>
      <c r="D26" s="169">
        <f>1080+2999+2999+1999+329+899+406.2+235*2+830+3680+3600+7400*2</f>
        <v>34091.199999999997</v>
      </c>
      <c r="E26" s="109" t="s">
        <v>45</v>
      </c>
    </row>
    <row r="27" spans="1:7">
      <c r="A27" s="168" t="s">
        <v>12</v>
      </c>
      <c r="B27" s="248" t="s">
        <v>28</v>
      </c>
      <c r="C27" s="248"/>
      <c r="D27" s="170">
        <f>3468.6+3344.37+3493.2+623+1300</f>
        <v>12229.169999999998</v>
      </c>
      <c r="E27" s="109" t="s">
        <v>45</v>
      </c>
      <c r="F27" s="44"/>
    </row>
    <row r="28" spans="1:7" ht="15">
      <c r="A28" s="168" t="s">
        <v>13</v>
      </c>
      <c r="B28" s="249" t="s">
        <v>29</v>
      </c>
      <c r="C28" s="250"/>
      <c r="D28" s="170">
        <f>690.01+399+1113</f>
        <v>2202.0100000000002</v>
      </c>
      <c r="E28" s="109" t="s">
        <v>45</v>
      </c>
      <c r="F28" s="44"/>
    </row>
    <row r="29" spans="1:7" ht="15">
      <c r="A29" s="168" t="s">
        <v>14</v>
      </c>
      <c r="B29" s="249" t="s">
        <v>148</v>
      </c>
      <c r="C29" s="250"/>
      <c r="D29" s="170">
        <f>2199*3+1299</f>
        <v>7896</v>
      </c>
      <c r="E29" s="109" t="s">
        <v>45</v>
      </c>
      <c r="F29" s="44"/>
    </row>
    <row r="30" spans="1:7">
      <c r="A30" s="168" t="s">
        <v>16</v>
      </c>
      <c r="B30" s="245" t="s">
        <v>27</v>
      </c>
      <c r="C30" s="246"/>
      <c r="D30" s="169">
        <f>1129*2+3499+2046.8+3499+3405.6+2046.8+3499+1690+1690+1109*4+1200+1699+930+1498.99*2+3159+2700+455+8934+1619+3321+1659+1499+1599</f>
        <v>59842.18</v>
      </c>
      <c r="E30" s="109" t="s">
        <v>44</v>
      </c>
      <c r="F30" s="44"/>
    </row>
    <row r="31" spans="1:7" hidden="1">
      <c r="A31" s="104" t="s">
        <v>19</v>
      </c>
      <c r="B31" s="255" t="s">
        <v>30</v>
      </c>
      <c r="C31" s="255"/>
      <c r="D31" s="105"/>
      <c r="E31" s="99" t="s">
        <v>43</v>
      </c>
    </row>
    <row r="32" spans="1:7">
      <c r="A32" s="171" t="s">
        <v>149</v>
      </c>
      <c r="B32" s="14"/>
      <c r="C32" s="14"/>
      <c r="D32" s="172"/>
      <c r="E32" s="109"/>
      <c r="G32" s="31"/>
    </row>
    <row r="33" spans="1:7">
      <c r="A33" s="166" t="s">
        <v>24</v>
      </c>
      <c r="B33" s="247" t="s">
        <v>25</v>
      </c>
      <c r="C33" s="247"/>
      <c r="D33" s="167" t="s">
        <v>23</v>
      </c>
      <c r="E33" s="109"/>
      <c r="G33" s="31"/>
    </row>
    <row r="34" spans="1:7">
      <c r="A34" s="168" t="s">
        <v>11</v>
      </c>
      <c r="B34" s="249" t="s">
        <v>29</v>
      </c>
      <c r="C34" s="263"/>
      <c r="D34" s="170">
        <v>229</v>
      </c>
      <c r="E34" s="109" t="s">
        <v>45</v>
      </c>
      <c r="G34" s="31"/>
    </row>
    <row r="35" spans="1:7" ht="15">
      <c r="A35" s="168" t="s">
        <v>12</v>
      </c>
      <c r="B35" s="245" t="s">
        <v>27</v>
      </c>
      <c r="C35" s="262"/>
      <c r="D35" s="170">
        <f>1390+1619+749+309+1998.99+3900+3695.27+9900+2400+2399.99</f>
        <v>28361.25</v>
      </c>
      <c r="E35" s="109" t="s">
        <v>44</v>
      </c>
      <c r="G35" s="31"/>
    </row>
    <row r="36" spans="1:7" hidden="1">
      <c r="A36" s="103" t="s">
        <v>14</v>
      </c>
      <c r="B36" s="255" t="s">
        <v>30</v>
      </c>
      <c r="C36" s="255"/>
      <c r="D36" s="105"/>
      <c r="E36" s="99" t="s">
        <v>43</v>
      </c>
      <c r="G36" s="31"/>
    </row>
    <row r="37" spans="1:7">
      <c r="A37" s="171" t="s">
        <v>156</v>
      </c>
      <c r="B37" s="14"/>
      <c r="C37" s="14"/>
      <c r="D37" s="172"/>
      <c r="E37" s="109"/>
      <c r="G37" s="31"/>
    </row>
    <row r="38" spans="1:7">
      <c r="A38" s="166" t="s">
        <v>24</v>
      </c>
      <c r="B38" s="247" t="s">
        <v>25</v>
      </c>
      <c r="C38" s="247"/>
      <c r="D38" s="167" t="s">
        <v>23</v>
      </c>
      <c r="E38" s="109"/>
      <c r="G38" s="31"/>
    </row>
    <row r="39" spans="1:7">
      <c r="A39" s="168" t="s">
        <v>11</v>
      </c>
      <c r="B39" s="248" t="s">
        <v>26</v>
      </c>
      <c r="C39" s="248"/>
      <c r="D39" s="169">
        <f>1799*4+350*3+1500*6+350+1790+190+3489.87+370+2250+870*15+345*15+699*2+2900+249</f>
        <v>48457.869999999995</v>
      </c>
      <c r="E39" s="109" t="s">
        <v>45</v>
      </c>
      <c r="G39" s="31"/>
    </row>
    <row r="40" spans="1:7">
      <c r="A40" s="168" t="s">
        <v>12</v>
      </c>
      <c r="B40" s="248" t="s">
        <v>283</v>
      </c>
      <c r="C40" s="248"/>
      <c r="D40" s="170">
        <f>400+377+865+865+865+865+6377.89</f>
        <v>10614.89</v>
      </c>
      <c r="E40" s="109" t="s">
        <v>45</v>
      </c>
      <c r="F40" s="44"/>
      <c r="G40" s="31"/>
    </row>
    <row r="41" spans="1:7">
      <c r="A41" s="168" t="s">
        <v>13</v>
      </c>
      <c r="B41" s="261" t="s">
        <v>52</v>
      </c>
      <c r="C41" s="261"/>
      <c r="D41" s="170">
        <v>1670</v>
      </c>
      <c r="E41" s="109" t="s">
        <v>45</v>
      </c>
      <c r="F41" s="44"/>
      <c r="G41" s="31"/>
    </row>
    <row r="42" spans="1:7">
      <c r="A42" s="168" t="s">
        <v>14</v>
      </c>
      <c r="B42" s="245" t="s">
        <v>27</v>
      </c>
      <c r="C42" s="246"/>
      <c r="D42" s="169">
        <f>1850+1317+1670+1625+1270*3+1470+1270+1317+2800*4+2357.82*5+850+1050+1110+4100+2230+2500+6820+670+898+898+875*4+7250+10250+2710+850*2+1465</f>
        <v>85319.1</v>
      </c>
      <c r="E42" s="109" t="s">
        <v>44</v>
      </c>
      <c r="G42" s="31"/>
    </row>
    <row r="43" spans="1:7" hidden="1">
      <c r="A43" s="104" t="s">
        <v>19</v>
      </c>
      <c r="B43" s="255" t="s">
        <v>30</v>
      </c>
      <c r="C43" s="255"/>
      <c r="D43" s="105"/>
      <c r="E43" s="99" t="s">
        <v>43</v>
      </c>
      <c r="G43" s="31"/>
    </row>
    <row r="44" spans="1:7">
      <c r="A44" s="171" t="s">
        <v>157</v>
      </c>
      <c r="B44" s="14"/>
      <c r="C44" s="14"/>
      <c r="D44" s="172"/>
      <c r="E44" s="109"/>
      <c r="G44" s="31"/>
    </row>
    <row r="45" spans="1:7">
      <c r="A45" s="166" t="s">
        <v>24</v>
      </c>
      <c r="B45" s="247" t="s">
        <v>25</v>
      </c>
      <c r="C45" s="247"/>
      <c r="D45" s="167" t="s">
        <v>23</v>
      </c>
      <c r="E45" s="109"/>
      <c r="G45" s="31"/>
    </row>
    <row r="46" spans="1:7">
      <c r="A46" s="168" t="s">
        <v>11</v>
      </c>
      <c r="B46" s="248" t="s">
        <v>26</v>
      </c>
      <c r="C46" s="248"/>
      <c r="D46" s="169">
        <f>1579+1678+1954+1689+10350+2154+1849+2763+2763+365*7+1679*7+1735</f>
        <v>42822</v>
      </c>
      <c r="E46" s="109" t="s">
        <v>45</v>
      </c>
      <c r="F46" s="44"/>
      <c r="G46" s="31"/>
    </row>
    <row r="47" spans="1:7">
      <c r="A47" s="168" t="s">
        <v>12</v>
      </c>
      <c r="B47" s="248" t="s">
        <v>52</v>
      </c>
      <c r="C47" s="248"/>
      <c r="D47" s="170">
        <v>400</v>
      </c>
      <c r="E47" s="109" t="s">
        <v>45</v>
      </c>
      <c r="F47" s="44"/>
      <c r="G47" s="31"/>
    </row>
    <row r="48" spans="1:7" ht="15">
      <c r="A48" s="168" t="s">
        <v>13</v>
      </c>
      <c r="B48" s="249" t="s">
        <v>28</v>
      </c>
      <c r="C48" s="250"/>
      <c r="D48" s="170">
        <f>2693.7+670+639+638+4747.8</f>
        <v>9388.5</v>
      </c>
      <c r="E48" s="109" t="s">
        <v>45</v>
      </c>
      <c r="F48" s="44"/>
      <c r="G48" s="31"/>
    </row>
    <row r="49" spans="1:7" ht="15">
      <c r="A49" s="168" t="s">
        <v>14</v>
      </c>
      <c r="B49" s="249" t="s">
        <v>283</v>
      </c>
      <c r="C49" s="250"/>
      <c r="D49" s="170">
        <f>872.19</f>
        <v>872.19</v>
      </c>
      <c r="E49" s="109" t="s">
        <v>45</v>
      </c>
      <c r="F49" s="44"/>
      <c r="G49" s="31"/>
    </row>
    <row r="50" spans="1:7" ht="15">
      <c r="A50" s="168" t="s">
        <v>15</v>
      </c>
      <c r="B50" s="249" t="s">
        <v>148</v>
      </c>
      <c r="C50" s="250"/>
      <c r="D50" s="170">
        <f>2489+2290+2199</f>
        <v>6978</v>
      </c>
      <c r="E50" s="109" t="s">
        <v>45</v>
      </c>
      <c r="F50" s="44"/>
      <c r="G50" s="31"/>
    </row>
    <row r="51" spans="1:7">
      <c r="A51" s="168" t="s">
        <v>16</v>
      </c>
      <c r="B51" s="245" t="s">
        <v>27</v>
      </c>
      <c r="C51" s="246"/>
      <c r="D51" s="169">
        <f>2359+2544+2237+2720+2799+1199.99+962.11+3200+2790+3000+1999+1999+1999+878+3000+2900+430+4200+4300+4300+4225+4225+225+225+1698.98</f>
        <v>60415.08</v>
      </c>
      <c r="E51" s="109" t="s">
        <v>44</v>
      </c>
      <c r="G51" s="31"/>
    </row>
    <row r="52" spans="1:7">
      <c r="A52" s="33"/>
      <c r="G52" s="31"/>
    </row>
    <row r="55" spans="1:7">
      <c r="B55" s="6" t="s">
        <v>56</v>
      </c>
    </row>
  </sheetData>
  <mergeCells count="42">
    <mergeCell ref="B18:C18"/>
    <mergeCell ref="B21:C21"/>
    <mergeCell ref="B28:C28"/>
    <mergeCell ref="B25:C25"/>
    <mergeCell ref="B22:C22"/>
    <mergeCell ref="B41:C41"/>
    <mergeCell ref="B31:C31"/>
    <mergeCell ref="B35:C35"/>
    <mergeCell ref="B34:C34"/>
    <mergeCell ref="B23:C23"/>
    <mergeCell ref="B36:C36"/>
    <mergeCell ref="B38:C38"/>
    <mergeCell ref="B39:C39"/>
    <mergeCell ref="B15:C15"/>
    <mergeCell ref="B9:C9"/>
    <mergeCell ref="B14:C14"/>
    <mergeCell ref="B16:C16"/>
    <mergeCell ref="B2:C2"/>
    <mergeCell ref="B3:C3"/>
    <mergeCell ref="B8:C8"/>
    <mergeCell ref="B4:C4"/>
    <mergeCell ref="B5:C5"/>
    <mergeCell ref="B7:C7"/>
    <mergeCell ref="B27:C27"/>
    <mergeCell ref="B11:C11"/>
    <mergeCell ref="B20:C20"/>
    <mergeCell ref="B12:C12"/>
    <mergeCell ref="B26:C26"/>
    <mergeCell ref="B43:C43"/>
    <mergeCell ref="B30:C30"/>
    <mergeCell ref="B33:C33"/>
    <mergeCell ref="B40:C40"/>
    <mergeCell ref="B17:C17"/>
    <mergeCell ref="B29:C29"/>
    <mergeCell ref="B42:C42"/>
    <mergeCell ref="B51:C51"/>
    <mergeCell ref="B45:C45"/>
    <mergeCell ref="B46:C46"/>
    <mergeCell ref="B47:C47"/>
    <mergeCell ref="B48:C48"/>
    <mergeCell ref="B49:C49"/>
    <mergeCell ref="B50:C50"/>
  </mergeCells>
  <phoneticPr fontId="2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28" workbookViewId="0">
      <selection activeCell="D37" sqref="D37"/>
    </sheetView>
  </sheetViews>
  <sheetFormatPr defaultRowHeight="12.75"/>
  <cols>
    <col min="1" max="1" width="3.42578125" style="15" bestFit="1" customWidth="1"/>
    <col min="2" max="2" width="27.140625" style="15" customWidth="1"/>
    <col min="3" max="3" width="41" style="15" bestFit="1" customWidth="1"/>
    <col min="4" max="5" width="39" style="16" customWidth="1"/>
    <col min="6" max="16384" width="9.140625" style="6"/>
  </cols>
  <sheetData>
    <row r="1" spans="1:5" ht="13.5" thickBot="1">
      <c r="A1" s="39" t="s">
        <v>0</v>
      </c>
      <c r="B1" s="39" t="s">
        <v>31</v>
      </c>
      <c r="C1" s="39" t="s">
        <v>42</v>
      </c>
      <c r="D1" s="110" t="s">
        <v>32</v>
      </c>
      <c r="E1" s="111" t="s">
        <v>33</v>
      </c>
    </row>
    <row r="2" spans="1:5" ht="25.5">
      <c r="A2" s="269">
        <v>1</v>
      </c>
      <c r="B2" s="266" t="s">
        <v>57</v>
      </c>
      <c r="C2" s="112" t="str">
        <f>'Zakładka nr 1'!C3</f>
        <v>Budynek światlica środoiskowa OPS</v>
      </c>
      <c r="D2" s="41" t="s">
        <v>227</v>
      </c>
      <c r="E2" s="51" t="s">
        <v>230</v>
      </c>
    </row>
    <row r="3" spans="1:5" ht="39" customHeight="1">
      <c r="A3" s="270"/>
      <c r="B3" s="267"/>
      <c r="C3" s="34" t="str">
        <f>'Zakładka nr 1'!C4</f>
        <v>Budynek administracyjny Urzędu Gminy</v>
      </c>
      <c r="D3" s="18" t="s">
        <v>252</v>
      </c>
      <c r="E3" s="19" t="s">
        <v>262</v>
      </c>
    </row>
    <row r="4" spans="1:5" ht="26.25" customHeight="1">
      <c r="A4" s="270"/>
      <c r="B4" s="267"/>
      <c r="C4" s="38" t="str">
        <f>'Zakładka nr 1'!C5</f>
        <v>Budynek socjalno - magazynowy</v>
      </c>
      <c r="D4" s="18" t="s">
        <v>228</v>
      </c>
      <c r="E4" s="19"/>
    </row>
    <row r="5" spans="1:5" ht="26.25" customHeight="1">
      <c r="A5" s="270"/>
      <c r="B5" s="267"/>
      <c r="C5" s="38" t="str">
        <f>'Zakładka nr 1'!C6</f>
        <v>Budynek Osrodka Zdrowia Księżomierz Gościeradowska</v>
      </c>
      <c r="D5" s="18" t="s">
        <v>253</v>
      </c>
      <c r="E5" s="19" t="s">
        <v>230</v>
      </c>
    </row>
    <row r="6" spans="1:5" ht="26.25" customHeight="1">
      <c r="A6" s="270"/>
      <c r="B6" s="267"/>
      <c r="C6" s="38" t="str">
        <f>'Zakładka nr 1'!C7</f>
        <v>Budynek Ośodka Zdrowia Gościeradów Folwark</v>
      </c>
      <c r="D6" s="18" t="s">
        <v>253</v>
      </c>
      <c r="E6" s="19" t="s">
        <v>230</v>
      </c>
    </row>
    <row r="7" spans="1:5" ht="26.25" customHeight="1">
      <c r="A7" s="270"/>
      <c r="B7" s="267"/>
      <c r="C7" s="38" t="str">
        <f>'Zakładka nr 1'!C8</f>
        <v>Budynek Ośrodka Zdrowia Lisnik Duży</v>
      </c>
      <c r="D7" s="18" t="s">
        <v>254</v>
      </c>
      <c r="E7" s="19" t="s">
        <v>230</v>
      </c>
    </row>
    <row r="8" spans="1:5" ht="36.75" customHeight="1">
      <c r="A8" s="270"/>
      <c r="B8" s="267"/>
      <c r="C8" s="34" t="str">
        <f>'Zakładka nr 1'!C9</f>
        <v>Garaż - Ośrodek Zdrowia w Gościeradowie</v>
      </c>
      <c r="D8" s="18"/>
      <c r="E8" s="19" t="s">
        <v>230</v>
      </c>
    </row>
    <row r="9" spans="1:5" ht="26.25" customHeight="1">
      <c r="A9" s="270"/>
      <c r="B9" s="267"/>
      <c r="C9" s="34" t="str">
        <f>'Zakładka nr 1'!C10</f>
        <v>Budynek UG biura GS Gościeradów Ukazowy</v>
      </c>
      <c r="D9" s="18"/>
      <c r="E9" s="19" t="s">
        <v>230</v>
      </c>
    </row>
    <row r="10" spans="1:5" ht="26.25" customHeight="1">
      <c r="A10" s="270"/>
      <c r="B10" s="267"/>
      <c r="C10" s="34" t="str">
        <f>'Zakładka nr 1'!C11</f>
        <v>Budynek UG magazyn GS Gościeradów Ukazowy</v>
      </c>
      <c r="D10" s="18"/>
      <c r="E10" s="19" t="s">
        <v>230</v>
      </c>
    </row>
    <row r="11" spans="1:5" ht="26.25" customHeight="1">
      <c r="A11" s="270"/>
      <c r="B11" s="267"/>
      <c r="C11" s="34" t="str">
        <f>'Zakładka nr 1'!C12</f>
        <v>Budynek świetlica Kolonia Liśnik Duży</v>
      </c>
      <c r="D11" s="18"/>
      <c r="E11" s="19" t="s">
        <v>230</v>
      </c>
    </row>
    <row r="12" spans="1:5" ht="15" customHeight="1">
      <c r="A12" s="270"/>
      <c r="B12" s="267"/>
      <c r="C12" s="34" t="str">
        <f>'Zakładka nr 1'!C13</f>
        <v>Budynek - światlica Wólka Szczecka</v>
      </c>
      <c r="D12" s="18"/>
      <c r="E12" s="19"/>
    </row>
    <row r="13" spans="1:5" ht="26.25" customHeight="1">
      <c r="A13" s="270"/>
      <c r="B13" s="267"/>
      <c r="C13" s="34" t="str">
        <f>'Zakładka nr 1'!C14</f>
        <v>Budynek po byłej szkole w Marynopolu</v>
      </c>
      <c r="D13" s="18" t="s">
        <v>255</v>
      </c>
      <c r="E13" s="19" t="s">
        <v>230</v>
      </c>
    </row>
    <row r="14" spans="1:5" ht="26.25" customHeight="1">
      <c r="A14" s="270"/>
      <c r="B14" s="267"/>
      <c r="C14" s="38" t="str">
        <f>'Zakładka nr 1'!C15</f>
        <v>Garaż OSP Liśnik Duży</v>
      </c>
      <c r="D14" s="18" t="s">
        <v>256</v>
      </c>
      <c r="E14" s="19" t="s">
        <v>230</v>
      </c>
    </row>
    <row r="15" spans="1:5" ht="26.25" customHeight="1">
      <c r="A15" s="270"/>
      <c r="B15" s="267"/>
      <c r="C15" s="34" t="str">
        <f>'Zakładka nr 1'!C16</f>
        <v>Budynek OSP Księżomierz Gościeradowska</v>
      </c>
      <c r="D15" s="18" t="s">
        <v>257</v>
      </c>
      <c r="E15" s="19" t="s">
        <v>230</v>
      </c>
    </row>
    <row r="16" spans="1:5" ht="15" customHeight="1">
      <c r="A16" s="270"/>
      <c r="B16" s="267"/>
      <c r="C16" s="34" t="str">
        <f>'Zakładka nr 1'!C17</f>
        <v>Budynek OSP Wólka Gościeradowska</v>
      </c>
      <c r="D16" s="18"/>
      <c r="E16" s="19"/>
    </row>
    <row r="17" spans="1:5" ht="15" customHeight="1">
      <c r="A17" s="270"/>
      <c r="B17" s="267"/>
      <c r="C17" s="34" t="str">
        <f>'Zakładka nr 1'!C18</f>
        <v>Garaż OSP Wólka Gościeradowska</v>
      </c>
      <c r="D17" s="18" t="s">
        <v>258</v>
      </c>
      <c r="E17" s="19"/>
    </row>
    <row r="18" spans="1:5" ht="15" customHeight="1">
      <c r="A18" s="270"/>
      <c r="B18" s="267"/>
      <c r="C18" s="34" t="str">
        <f>'Zakładka nr 1'!C19</f>
        <v>Budynek OSP Gościeradów Folwar</v>
      </c>
      <c r="D18" s="18"/>
      <c r="E18" s="19"/>
    </row>
    <row r="19" spans="1:5" ht="26.25" customHeight="1">
      <c r="A19" s="270"/>
      <c r="B19" s="267"/>
      <c r="C19" s="34" t="str">
        <f>'Zakładka nr 1'!C20</f>
        <v>Garaż OSP Gościeradów Folwar</v>
      </c>
      <c r="D19" s="18" t="s">
        <v>259</v>
      </c>
      <c r="E19" s="19" t="s">
        <v>230</v>
      </c>
    </row>
    <row r="20" spans="1:5" ht="25.5" customHeight="1">
      <c r="A20" s="270"/>
      <c r="B20" s="267"/>
      <c r="C20" s="34" t="str">
        <f>'Zakładka nr 1'!C21</f>
        <v>Budynek OSP Aleksandrów</v>
      </c>
      <c r="D20" s="18" t="s">
        <v>257</v>
      </c>
      <c r="E20" s="19"/>
    </row>
    <row r="21" spans="1:5" ht="25.5" customHeight="1">
      <c r="A21" s="270"/>
      <c r="B21" s="267"/>
      <c r="C21" s="34" t="str">
        <f>'Zakładka nr 1'!C22</f>
        <v>Budynek OSP Marynopole - światlica wiejska</v>
      </c>
      <c r="D21" s="18" t="s">
        <v>229</v>
      </c>
      <c r="E21" s="19" t="s">
        <v>230</v>
      </c>
    </row>
    <row r="22" spans="1:5" ht="25.5" customHeight="1">
      <c r="A22" s="270"/>
      <c r="B22" s="267"/>
      <c r="C22" s="34" t="str">
        <f>'Zakładka nr 1'!C23</f>
        <v>Budynek OSP Szczecyn</v>
      </c>
      <c r="D22" s="18"/>
      <c r="E22" s="19"/>
    </row>
    <row r="23" spans="1:5" ht="25.5" customHeight="1">
      <c r="A23" s="270"/>
      <c r="B23" s="267"/>
      <c r="C23" s="34" t="str">
        <f>'Zakładka nr 1'!C24</f>
        <v>Budynek OSP Suchodoły</v>
      </c>
      <c r="D23" s="18" t="s">
        <v>257</v>
      </c>
      <c r="E23" s="19"/>
    </row>
    <row r="24" spans="1:5" ht="25.5" customHeight="1">
      <c r="A24" s="270"/>
      <c r="B24" s="267"/>
      <c r="C24" s="34" t="str">
        <f>'Zakładka nr 1'!C25</f>
        <v>Budynek OSP Salomin</v>
      </c>
      <c r="D24" s="18" t="s">
        <v>257</v>
      </c>
      <c r="E24" s="19"/>
    </row>
    <row r="25" spans="1:5" ht="25.5" customHeight="1">
      <c r="A25" s="270"/>
      <c r="B25" s="267"/>
      <c r="C25" s="34" t="s">
        <v>231</v>
      </c>
      <c r="D25" s="18" t="s">
        <v>257</v>
      </c>
      <c r="E25" s="19" t="s">
        <v>230</v>
      </c>
    </row>
    <row r="26" spans="1:5" ht="25.5" customHeight="1">
      <c r="A26" s="270"/>
      <c r="B26" s="267"/>
      <c r="C26" s="34" t="str">
        <f>'Zakładka nr 1'!C27</f>
        <v>Dzienny Dom Pobytu Seniora "Wigor"</v>
      </c>
      <c r="D26" s="18" t="s">
        <v>261</v>
      </c>
      <c r="E26" s="19" t="s">
        <v>230</v>
      </c>
    </row>
    <row r="27" spans="1:5" ht="25.5" customHeight="1">
      <c r="A27" s="270"/>
      <c r="B27" s="267"/>
      <c r="C27" s="34" t="str">
        <f>'Zakładka nr 1'!C28</f>
        <v>Budynek gospodarczy przy Dziennym Domu Pobytu Seniora "Wigor"</v>
      </c>
      <c r="D27" s="18" t="s">
        <v>261</v>
      </c>
      <c r="E27" s="19"/>
    </row>
    <row r="28" spans="1:5" ht="25.5" customHeight="1" thickBot="1">
      <c r="A28" s="271"/>
      <c r="B28" s="268"/>
      <c r="C28" s="65" t="str">
        <f>'Zakładka nr 1'!C29</f>
        <v>Budynek po posterunku Policji</v>
      </c>
      <c r="D28" s="20" t="s">
        <v>261</v>
      </c>
      <c r="E28" s="19" t="s">
        <v>230</v>
      </c>
    </row>
    <row r="29" spans="1:5" ht="27" thickBot="1">
      <c r="A29" s="22">
        <v>2</v>
      </c>
      <c r="B29" s="23" t="s">
        <v>63</v>
      </c>
      <c r="C29" s="275" t="s">
        <v>75</v>
      </c>
      <c r="D29" s="276"/>
      <c r="E29" s="277"/>
    </row>
    <row r="30" spans="1:5" ht="25.5">
      <c r="A30" s="278">
        <v>3</v>
      </c>
      <c r="B30" s="279" t="s">
        <v>58</v>
      </c>
      <c r="C30" s="47" t="s">
        <v>140</v>
      </c>
      <c r="D30" s="41" t="s">
        <v>232</v>
      </c>
      <c r="E30" s="51" t="s">
        <v>230</v>
      </c>
    </row>
    <row r="31" spans="1:5" ht="26.25" thickBot="1">
      <c r="A31" s="278"/>
      <c r="B31" s="279"/>
      <c r="C31" s="73" t="s">
        <v>141</v>
      </c>
      <c r="D31" s="20" t="s">
        <v>278</v>
      </c>
      <c r="E31" s="66"/>
    </row>
    <row r="32" spans="1:5" s="14" customFormat="1" ht="13.5" customHeight="1" thickBot="1">
      <c r="A32" s="46">
        <v>4</v>
      </c>
      <c r="B32" s="48" t="s">
        <v>64</v>
      </c>
      <c r="C32" s="275" t="s">
        <v>75</v>
      </c>
      <c r="D32" s="276"/>
      <c r="E32" s="277"/>
    </row>
    <row r="33" spans="1:5" s="14" customFormat="1" ht="36.75" customHeight="1">
      <c r="A33" s="282">
        <v>5</v>
      </c>
      <c r="B33" s="280" t="s">
        <v>145</v>
      </c>
      <c r="C33" s="72" t="s">
        <v>233</v>
      </c>
      <c r="D33" s="41" t="s">
        <v>234</v>
      </c>
      <c r="E33" s="51" t="s">
        <v>281</v>
      </c>
    </row>
    <row r="34" spans="1:5" s="14" customFormat="1" ht="29.25" customHeight="1" thickBot="1">
      <c r="A34" s="283"/>
      <c r="B34" s="281"/>
      <c r="C34" s="67" t="s">
        <v>146</v>
      </c>
      <c r="D34" s="18" t="s">
        <v>280</v>
      </c>
      <c r="E34" s="49"/>
    </row>
    <row r="35" spans="1:5" ht="26.25" customHeight="1" thickBot="1">
      <c r="A35" s="74">
        <v>6</v>
      </c>
      <c r="B35" s="22" t="s">
        <v>235</v>
      </c>
      <c r="C35" s="75" t="s">
        <v>150</v>
      </c>
      <c r="D35" s="76" t="s">
        <v>236</v>
      </c>
      <c r="E35" s="66" t="s">
        <v>230</v>
      </c>
    </row>
    <row r="36" spans="1:5" ht="26.25" customHeight="1" thickBot="1">
      <c r="A36" s="71">
        <v>7</v>
      </c>
      <c r="B36" s="70" t="s">
        <v>237</v>
      </c>
      <c r="C36" s="50" t="s">
        <v>238</v>
      </c>
      <c r="D36" s="40" t="s">
        <v>284</v>
      </c>
      <c r="E36" s="77" t="s">
        <v>230</v>
      </c>
    </row>
    <row r="37" spans="1:5" ht="32.25" customHeight="1">
      <c r="A37" s="272">
        <v>8</v>
      </c>
      <c r="B37" s="284" t="s">
        <v>157</v>
      </c>
      <c r="C37" s="78" t="s">
        <v>159</v>
      </c>
      <c r="D37" s="40" t="s">
        <v>305</v>
      </c>
      <c r="E37" s="42" t="s">
        <v>240</v>
      </c>
    </row>
    <row r="38" spans="1:5" ht="25.5">
      <c r="A38" s="273"/>
      <c r="B38" s="285"/>
      <c r="C38" s="79" t="s">
        <v>160</v>
      </c>
      <c r="D38" s="40" t="s">
        <v>305</v>
      </c>
      <c r="E38" s="52"/>
    </row>
    <row r="39" spans="1:5" ht="26.25" thickBot="1">
      <c r="A39" s="274"/>
      <c r="B39" s="286"/>
      <c r="C39" s="80" t="s">
        <v>161</v>
      </c>
      <c r="D39" s="20" t="s">
        <v>239</v>
      </c>
      <c r="E39" s="21"/>
    </row>
  </sheetData>
  <mergeCells count="10">
    <mergeCell ref="B2:B28"/>
    <mergeCell ref="A2:A28"/>
    <mergeCell ref="A37:A39"/>
    <mergeCell ref="C29:E29"/>
    <mergeCell ref="C32:E32"/>
    <mergeCell ref="A30:A31"/>
    <mergeCell ref="B30:B31"/>
    <mergeCell ref="B33:B34"/>
    <mergeCell ref="A33:A34"/>
    <mergeCell ref="B37:B39"/>
  </mergeCells>
  <phoneticPr fontId="2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zoomScaleNormal="145" workbookViewId="0">
      <selection activeCell="D11" sqref="D11"/>
    </sheetView>
  </sheetViews>
  <sheetFormatPr defaultRowHeight="15"/>
  <cols>
    <col min="1" max="1" width="5.42578125" style="7" customWidth="1"/>
    <col min="2" max="2" width="11.42578125" style="7" customWidth="1"/>
    <col min="3" max="3" width="9.140625" style="7"/>
    <col min="4" max="4" width="9.5703125" style="7" bestFit="1" customWidth="1"/>
    <col min="5" max="5" width="16.5703125" style="7" bestFit="1" customWidth="1"/>
    <col min="6" max="6" width="9.28515625" style="9" bestFit="1" customWidth="1"/>
    <col min="7" max="8" width="9.28515625" style="7" bestFit="1" customWidth="1"/>
    <col min="9" max="9" width="19.7109375" style="7" bestFit="1" customWidth="1"/>
    <col min="10" max="10" width="19.7109375" style="7" customWidth="1"/>
    <col min="11" max="13" width="9.140625" style="7"/>
    <col min="14" max="14" width="18.85546875" style="7" customWidth="1"/>
    <col min="15" max="16" width="9.140625" style="1"/>
    <col min="17" max="17" width="10.85546875" style="1" customWidth="1"/>
    <col min="18" max="16384" width="9.140625" style="1"/>
  </cols>
  <sheetData>
    <row r="1" spans="1:18" ht="17.25" thickTop="1">
      <c r="A1" s="113" t="s">
        <v>0</v>
      </c>
      <c r="B1" s="114" t="s">
        <v>34</v>
      </c>
      <c r="C1" s="114" t="s">
        <v>35</v>
      </c>
      <c r="D1" s="114" t="s">
        <v>36</v>
      </c>
      <c r="E1" s="114" t="s">
        <v>37</v>
      </c>
      <c r="F1" s="114" t="s">
        <v>38</v>
      </c>
      <c r="G1" s="114" t="s">
        <v>39</v>
      </c>
      <c r="H1" s="114" t="s">
        <v>54</v>
      </c>
      <c r="I1" s="114" t="s">
        <v>40</v>
      </c>
      <c r="J1" s="114" t="s">
        <v>268</v>
      </c>
      <c r="K1" s="114" t="s">
        <v>41</v>
      </c>
      <c r="L1" s="114" t="s">
        <v>53</v>
      </c>
      <c r="M1" s="115" t="s">
        <v>294</v>
      </c>
      <c r="N1" s="116" t="s">
        <v>55</v>
      </c>
      <c r="O1" s="117"/>
    </row>
    <row r="2" spans="1:18" s="2" customFormat="1" ht="25.5" customHeight="1">
      <c r="A2" s="118">
        <v>1</v>
      </c>
      <c r="B2" s="324" t="s">
        <v>167</v>
      </c>
      <c r="C2" s="119" t="s">
        <v>79</v>
      </c>
      <c r="D2" s="119" t="s">
        <v>168</v>
      </c>
      <c r="E2" s="119" t="s">
        <v>83</v>
      </c>
      <c r="F2" s="119">
        <v>1995</v>
      </c>
      <c r="G2" s="119">
        <v>9</v>
      </c>
      <c r="H2" s="119">
        <v>2007</v>
      </c>
      <c r="I2" s="120" t="s">
        <v>169</v>
      </c>
      <c r="J2" s="120" t="s">
        <v>17</v>
      </c>
      <c r="K2" s="121" t="s">
        <v>300</v>
      </c>
      <c r="L2" s="121" t="s">
        <v>300</v>
      </c>
      <c r="M2" s="121" t="s">
        <v>17</v>
      </c>
      <c r="N2" s="121" t="s">
        <v>86</v>
      </c>
      <c r="O2" s="122"/>
    </row>
    <row r="3" spans="1:18" s="3" customFormat="1" ht="27">
      <c r="A3" s="118">
        <v>2</v>
      </c>
      <c r="B3" s="324" t="s">
        <v>170</v>
      </c>
      <c r="C3" s="119" t="s">
        <v>81</v>
      </c>
      <c r="D3" s="119" t="s">
        <v>171</v>
      </c>
      <c r="E3" s="119" t="s">
        <v>85</v>
      </c>
      <c r="F3" s="119" t="s">
        <v>172</v>
      </c>
      <c r="G3" s="119" t="s">
        <v>17</v>
      </c>
      <c r="H3" s="119">
        <v>1979</v>
      </c>
      <c r="I3" s="123">
        <v>45677</v>
      </c>
      <c r="J3" s="123" t="s">
        <v>17</v>
      </c>
      <c r="K3" s="121" t="s">
        <v>300</v>
      </c>
      <c r="L3" s="121" t="s">
        <v>17</v>
      </c>
      <c r="M3" s="121" t="s">
        <v>17</v>
      </c>
      <c r="N3" s="121" t="s">
        <v>86</v>
      </c>
      <c r="O3" s="124"/>
      <c r="R3" s="2"/>
    </row>
    <row r="4" spans="1:18" s="3" customFormat="1" ht="27">
      <c r="A4" s="118">
        <v>3</v>
      </c>
      <c r="B4" s="324" t="s">
        <v>173</v>
      </c>
      <c r="C4" s="119" t="s">
        <v>76</v>
      </c>
      <c r="D4" s="119">
        <v>3512</v>
      </c>
      <c r="E4" s="119" t="s">
        <v>174</v>
      </c>
      <c r="F4" s="119" t="s">
        <v>144</v>
      </c>
      <c r="G4" s="119">
        <v>1</v>
      </c>
      <c r="H4" s="119">
        <v>1997</v>
      </c>
      <c r="I4" s="123">
        <v>1101989482</v>
      </c>
      <c r="J4" s="123" t="s">
        <v>17</v>
      </c>
      <c r="K4" s="121" t="s">
        <v>300</v>
      </c>
      <c r="L4" s="121" t="s">
        <v>300</v>
      </c>
      <c r="M4" s="121" t="s">
        <v>17</v>
      </c>
      <c r="N4" s="121" t="s">
        <v>86</v>
      </c>
      <c r="O4" s="124"/>
      <c r="R4" s="2"/>
    </row>
    <row r="5" spans="1:18" ht="27">
      <c r="A5" s="118">
        <v>4</v>
      </c>
      <c r="B5" s="325" t="s">
        <v>175</v>
      </c>
      <c r="C5" s="119" t="s">
        <v>80</v>
      </c>
      <c r="D5" s="119" t="s">
        <v>176</v>
      </c>
      <c r="E5" s="119" t="s">
        <v>84</v>
      </c>
      <c r="F5" s="119" t="s">
        <v>177</v>
      </c>
      <c r="G5" s="119">
        <v>7</v>
      </c>
      <c r="H5" s="119">
        <v>1993</v>
      </c>
      <c r="I5" s="123">
        <v>566018</v>
      </c>
      <c r="J5" s="191" t="s">
        <v>17</v>
      </c>
      <c r="K5" s="121" t="s">
        <v>300</v>
      </c>
      <c r="L5" s="121" t="s">
        <v>300</v>
      </c>
      <c r="M5" s="121" t="s">
        <v>17</v>
      </c>
      <c r="N5" s="121" t="s">
        <v>86</v>
      </c>
      <c r="O5" s="117"/>
      <c r="R5" s="2"/>
    </row>
    <row r="6" spans="1:18" ht="27">
      <c r="A6" s="118">
        <v>5</v>
      </c>
      <c r="B6" s="324" t="s">
        <v>178</v>
      </c>
      <c r="C6" s="119" t="s">
        <v>179</v>
      </c>
      <c r="D6" s="119" t="s">
        <v>180</v>
      </c>
      <c r="E6" s="119" t="s">
        <v>84</v>
      </c>
      <c r="F6" s="119" t="s">
        <v>181</v>
      </c>
      <c r="G6" s="119">
        <v>8</v>
      </c>
      <c r="H6" s="119">
        <v>1995</v>
      </c>
      <c r="I6" s="123" t="s">
        <v>182</v>
      </c>
      <c r="J6" s="123" t="s">
        <v>17</v>
      </c>
      <c r="K6" s="121" t="s">
        <v>300</v>
      </c>
      <c r="L6" s="121" t="s">
        <v>300</v>
      </c>
      <c r="M6" s="121" t="s">
        <v>17</v>
      </c>
      <c r="N6" s="121" t="s">
        <v>86</v>
      </c>
      <c r="O6" s="117"/>
      <c r="R6" s="2"/>
    </row>
    <row r="7" spans="1:18" s="4" customFormat="1" ht="27">
      <c r="A7" s="118">
        <v>6</v>
      </c>
      <c r="B7" s="324" t="s">
        <v>183</v>
      </c>
      <c r="C7" s="119" t="s">
        <v>184</v>
      </c>
      <c r="D7" s="119">
        <v>5</v>
      </c>
      <c r="E7" s="119" t="s">
        <v>84</v>
      </c>
      <c r="F7" s="119" t="s">
        <v>185</v>
      </c>
      <c r="G7" s="119">
        <v>6</v>
      </c>
      <c r="H7" s="119">
        <v>1991</v>
      </c>
      <c r="I7" s="123">
        <v>12297</v>
      </c>
      <c r="J7" s="123" t="s">
        <v>17</v>
      </c>
      <c r="K7" s="121" t="s">
        <v>300</v>
      </c>
      <c r="L7" s="121" t="s">
        <v>300</v>
      </c>
      <c r="M7" s="121" t="s">
        <v>17</v>
      </c>
      <c r="N7" s="121" t="s">
        <v>86</v>
      </c>
      <c r="O7" s="125"/>
      <c r="R7" s="2"/>
    </row>
    <row r="8" spans="1:18" ht="27">
      <c r="A8" s="118">
        <v>7</v>
      </c>
      <c r="B8" s="324" t="s">
        <v>186</v>
      </c>
      <c r="C8" s="119" t="s">
        <v>179</v>
      </c>
      <c r="D8" s="119" t="s">
        <v>187</v>
      </c>
      <c r="E8" s="119" t="s">
        <v>82</v>
      </c>
      <c r="F8" s="119" t="s">
        <v>181</v>
      </c>
      <c r="G8" s="119">
        <v>6</v>
      </c>
      <c r="H8" s="119">
        <v>1995</v>
      </c>
      <c r="I8" s="123" t="s">
        <v>287</v>
      </c>
      <c r="J8" s="191" t="s">
        <v>301</v>
      </c>
      <c r="K8" s="121" t="s">
        <v>300</v>
      </c>
      <c r="L8" s="121" t="s">
        <v>300</v>
      </c>
      <c r="M8" s="121" t="s">
        <v>17</v>
      </c>
      <c r="N8" s="121" t="s">
        <v>86</v>
      </c>
      <c r="O8" s="117"/>
      <c r="R8" s="2"/>
    </row>
    <row r="9" spans="1:18" ht="27">
      <c r="A9" s="118">
        <v>8</v>
      </c>
      <c r="B9" s="324" t="s">
        <v>188</v>
      </c>
      <c r="C9" s="119" t="s">
        <v>189</v>
      </c>
      <c r="D9" s="119">
        <v>244</v>
      </c>
      <c r="E9" s="119" t="s">
        <v>84</v>
      </c>
      <c r="F9" s="119" t="s">
        <v>185</v>
      </c>
      <c r="G9" s="119">
        <v>6</v>
      </c>
      <c r="H9" s="119">
        <v>1977</v>
      </c>
      <c r="I9" s="123">
        <v>2999</v>
      </c>
      <c r="J9" s="123" t="s">
        <v>17</v>
      </c>
      <c r="K9" s="121" t="s">
        <v>300</v>
      </c>
      <c r="L9" s="121" t="s">
        <v>300</v>
      </c>
      <c r="M9" s="121" t="s">
        <v>17</v>
      </c>
      <c r="N9" s="121" t="s">
        <v>86</v>
      </c>
      <c r="O9" s="117"/>
      <c r="R9" s="2"/>
    </row>
    <row r="10" spans="1:18" s="4" customFormat="1" ht="27">
      <c r="A10" s="118">
        <v>9</v>
      </c>
      <c r="B10" s="324" t="s">
        <v>190</v>
      </c>
      <c r="C10" s="119" t="s">
        <v>189</v>
      </c>
      <c r="D10" s="119" t="s">
        <v>191</v>
      </c>
      <c r="E10" s="119" t="s">
        <v>84</v>
      </c>
      <c r="F10" s="119" t="s">
        <v>192</v>
      </c>
      <c r="G10" s="119">
        <v>8</v>
      </c>
      <c r="H10" s="119">
        <v>1974</v>
      </c>
      <c r="I10" s="123">
        <v>43181</v>
      </c>
      <c r="J10" s="191" t="s">
        <v>17</v>
      </c>
      <c r="K10" s="121" t="s">
        <v>300</v>
      </c>
      <c r="L10" s="121" t="s">
        <v>300</v>
      </c>
      <c r="M10" s="121" t="s">
        <v>17</v>
      </c>
      <c r="N10" s="121" t="s">
        <v>86</v>
      </c>
      <c r="O10" s="125"/>
      <c r="R10" s="2"/>
    </row>
    <row r="11" spans="1:18" ht="27">
      <c r="A11" s="118">
        <v>10</v>
      </c>
      <c r="B11" s="324" t="s">
        <v>193</v>
      </c>
      <c r="C11" s="119" t="s">
        <v>194</v>
      </c>
      <c r="D11" s="119" t="s">
        <v>195</v>
      </c>
      <c r="E11" s="119" t="s">
        <v>85</v>
      </c>
      <c r="F11" s="119" t="s">
        <v>172</v>
      </c>
      <c r="G11" s="119" t="s">
        <v>17</v>
      </c>
      <c r="H11" s="119">
        <v>2007</v>
      </c>
      <c r="I11" s="123" t="s">
        <v>196</v>
      </c>
      <c r="J11" s="123" t="s">
        <v>17</v>
      </c>
      <c r="K11" s="121" t="s">
        <v>300</v>
      </c>
      <c r="L11" s="121" t="s">
        <v>17</v>
      </c>
      <c r="M11" s="121" t="s">
        <v>17</v>
      </c>
      <c r="N11" s="121" t="s">
        <v>86</v>
      </c>
      <c r="O11" s="117"/>
      <c r="R11" s="2"/>
    </row>
    <row r="12" spans="1:18" ht="27">
      <c r="A12" s="118">
        <v>11</v>
      </c>
      <c r="B12" s="324" t="s">
        <v>197</v>
      </c>
      <c r="C12" s="119" t="s">
        <v>80</v>
      </c>
      <c r="D12" s="119">
        <v>3524</v>
      </c>
      <c r="E12" s="119" t="s">
        <v>82</v>
      </c>
      <c r="F12" s="119" t="s">
        <v>198</v>
      </c>
      <c r="G12" s="119">
        <v>6</v>
      </c>
      <c r="H12" s="119">
        <v>2003</v>
      </c>
      <c r="I12" s="123" t="s">
        <v>199</v>
      </c>
      <c r="J12" s="123" t="s">
        <v>17</v>
      </c>
      <c r="K12" s="121" t="s">
        <v>300</v>
      </c>
      <c r="L12" s="121" t="s">
        <v>300</v>
      </c>
      <c r="M12" s="121" t="s">
        <v>17</v>
      </c>
      <c r="N12" s="121" t="s">
        <v>86</v>
      </c>
      <c r="O12" s="117"/>
      <c r="R12" s="2"/>
    </row>
    <row r="13" spans="1:18" ht="27">
      <c r="A13" s="118">
        <v>12</v>
      </c>
      <c r="B13" s="324" t="s">
        <v>200</v>
      </c>
      <c r="C13" s="119" t="s">
        <v>201</v>
      </c>
      <c r="D13" s="119" t="s">
        <v>202</v>
      </c>
      <c r="E13" s="119" t="s">
        <v>85</v>
      </c>
      <c r="F13" s="119" t="s">
        <v>203</v>
      </c>
      <c r="G13" s="119" t="s">
        <v>17</v>
      </c>
      <c r="H13" s="119">
        <v>2009</v>
      </c>
      <c r="I13" s="123" t="s">
        <v>204</v>
      </c>
      <c r="J13" s="123" t="s">
        <v>17</v>
      </c>
      <c r="K13" s="121" t="s">
        <v>300</v>
      </c>
      <c r="L13" s="121" t="s">
        <v>17</v>
      </c>
      <c r="M13" s="121" t="s">
        <v>17</v>
      </c>
      <c r="N13" s="121" t="s">
        <v>86</v>
      </c>
      <c r="O13" s="117"/>
      <c r="R13" s="2"/>
    </row>
    <row r="14" spans="1:18" ht="27">
      <c r="A14" s="118">
        <v>13</v>
      </c>
      <c r="B14" s="324" t="s">
        <v>205</v>
      </c>
      <c r="C14" s="119" t="s">
        <v>206</v>
      </c>
      <c r="D14" s="119">
        <v>35</v>
      </c>
      <c r="E14" s="119" t="s">
        <v>84</v>
      </c>
      <c r="F14" s="119" t="s">
        <v>207</v>
      </c>
      <c r="G14" s="119">
        <v>6</v>
      </c>
      <c r="H14" s="119">
        <v>2001</v>
      </c>
      <c r="I14" s="123" t="s">
        <v>208</v>
      </c>
      <c r="J14" s="123" t="s">
        <v>17</v>
      </c>
      <c r="K14" s="121" t="s">
        <v>300</v>
      </c>
      <c r="L14" s="121" t="s">
        <v>300</v>
      </c>
      <c r="M14" s="121" t="s">
        <v>17</v>
      </c>
      <c r="N14" s="121" t="s">
        <v>86</v>
      </c>
      <c r="O14" s="117"/>
      <c r="R14" s="2"/>
    </row>
    <row r="15" spans="1:18" ht="27">
      <c r="A15" s="118">
        <v>14</v>
      </c>
      <c r="B15" s="324" t="s">
        <v>209</v>
      </c>
      <c r="C15" s="119" t="s">
        <v>78</v>
      </c>
      <c r="D15" s="119" t="s">
        <v>210</v>
      </c>
      <c r="E15" s="119" t="s">
        <v>84</v>
      </c>
      <c r="F15" s="119" t="s">
        <v>207</v>
      </c>
      <c r="G15" s="119">
        <v>8</v>
      </c>
      <c r="H15" s="119">
        <v>1997</v>
      </c>
      <c r="I15" s="123" t="s">
        <v>288</v>
      </c>
      <c r="J15" s="123" t="s">
        <v>17</v>
      </c>
      <c r="K15" s="121" t="s">
        <v>300</v>
      </c>
      <c r="L15" s="121" t="s">
        <v>300</v>
      </c>
      <c r="M15" s="121" t="s">
        <v>17</v>
      </c>
      <c r="N15" s="121" t="s">
        <v>86</v>
      </c>
      <c r="O15" s="117"/>
      <c r="R15" s="2"/>
    </row>
    <row r="16" spans="1:18" ht="27">
      <c r="A16" s="118">
        <v>15</v>
      </c>
      <c r="B16" s="324" t="s">
        <v>211</v>
      </c>
      <c r="C16" s="119" t="s">
        <v>189</v>
      </c>
      <c r="D16" s="119">
        <v>244</v>
      </c>
      <c r="E16" s="119" t="s">
        <v>84</v>
      </c>
      <c r="F16" s="119" t="s">
        <v>185</v>
      </c>
      <c r="G16" s="119">
        <v>6</v>
      </c>
      <c r="H16" s="119">
        <v>1989</v>
      </c>
      <c r="I16" s="123">
        <v>11830</v>
      </c>
      <c r="J16" s="123" t="s">
        <v>17</v>
      </c>
      <c r="K16" s="121" t="s">
        <v>300</v>
      </c>
      <c r="L16" s="121" t="s">
        <v>300</v>
      </c>
      <c r="M16" s="121" t="s">
        <v>17</v>
      </c>
      <c r="N16" s="121" t="s">
        <v>86</v>
      </c>
      <c r="O16" s="117"/>
      <c r="R16" s="2"/>
    </row>
    <row r="17" spans="1:18" ht="27">
      <c r="A17" s="118">
        <v>16</v>
      </c>
      <c r="B17" s="324" t="s">
        <v>212</v>
      </c>
      <c r="C17" s="119" t="s">
        <v>184</v>
      </c>
      <c r="D17" s="119">
        <v>4</v>
      </c>
      <c r="E17" s="119" t="s">
        <v>84</v>
      </c>
      <c r="F17" s="119"/>
      <c r="G17" s="119">
        <v>4</v>
      </c>
      <c r="H17" s="119">
        <v>1991</v>
      </c>
      <c r="I17" s="123">
        <v>20989</v>
      </c>
      <c r="J17" s="123" t="s">
        <v>17</v>
      </c>
      <c r="K17" s="121" t="s">
        <v>300</v>
      </c>
      <c r="L17" s="121" t="s">
        <v>300</v>
      </c>
      <c r="M17" s="121" t="s">
        <v>17</v>
      </c>
      <c r="N17" s="121" t="s">
        <v>86</v>
      </c>
      <c r="O17" s="117"/>
      <c r="R17" s="2"/>
    </row>
    <row r="18" spans="1:18" ht="32.25" customHeight="1">
      <c r="A18" s="118">
        <v>17</v>
      </c>
      <c r="B18" s="324" t="s">
        <v>213</v>
      </c>
      <c r="C18" s="119" t="s">
        <v>214</v>
      </c>
      <c r="D18" s="119" t="s">
        <v>215</v>
      </c>
      <c r="E18" s="119" t="s">
        <v>84</v>
      </c>
      <c r="F18" s="119" t="s">
        <v>216</v>
      </c>
      <c r="G18" s="119">
        <v>6</v>
      </c>
      <c r="H18" s="119">
        <v>2010</v>
      </c>
      <c r="I18" s="123" t="s">
        <v>217</v>
      </c>
      <c r="J18" s="123" t="s">
        <v>17</v>
      </c>
      <c r="K18" s="121" t="s">
        <v>300</v>
      </c>
      <c r="L18" s="121" t="s">
        <v>300</v>
      </c>
      <c r="M18" s="121" t="s">
        <v>17</v>
      </c>
      <c r="N18" s="121" t="s">
        <v>218</v>
      </c>
      <c r="O18" s="117"/>
      <c r="R18" s="2"/>
    </row>
    <row r="19" spans="1:18" ht="27">
      <c r="A19" s="118">
        <v>18</v>
      </c>
      <c r="B19" s="326" t="s">
        <v>219</v>
      </c>
      <c r="C19" s="121" t="s">
        <v>77</v>
      </c>
      <c r="D19" s="121">
        <v>244</v>
      </c>
      <c r="E19" s="121" t="s">
        <v>84</v>
      </c>
      <c r="F19" s="121" t="s">
        <v>220</v>
      </c>
      <c r="G19" s="121">
        <v>6</v>
      </c>
      <c r="H19" s="121">
        <v>1976</v>
      </c>
      <c r="I19" s="121">
        <v>1988</v>
      </c>
      <c r="J19" s="121" t="s">
        <v>17</v>
      </c>
      <c r="K19" s="121" t="s">
        <v>299</v>
      </c>
      <c r="L19" s="121" t="s">
        <v>299</v>
      </c>
      <c r="M19" s="121" t="s">
        <v>17</v>
      </c>
      <c r="N19" s="121" t="s">
        <v>86</v>
      </c>
      <c r="O19" s="117"/>
      <c r="R19" s="2"/>
    </row>
    <row r="20" spans="1:18" ht="27">
      <c r="A20" s="118">
        <v>19</v>
      </c>
      <c r="B20" s="326" t="s">
        <v>269</v>
      </c>
      <c r="C20" s="121" t="s">
        <v>270</v>
      </c>
      <c r="D20" s="121" t="s">
        <v>271</v>
      </c>
      <c r="E20" s="121" t="s">
        <v>82</v>
      </c>
      <c r="F20" s="121">
        <v>263</v>
      </c>
      <c r="G20" s="121">
        <v>3</v>
      </c>
      <c r="H20" s="121">
        <v>2006</v>
      </c>
      <c r="I20" s="121" t="s">
        <v>272</v>
      </c>
      <c r="J20" s="121" t="s">
        <v>17</v>
      </c>
      <c r="K20" s="121" t="s">
        <v>298</v>
      </c>
      <c r="L20" s="121" t="s">
        <v>298</v>
      </c>
      <c r="M20" s="121" t="s">
        <v>17</v>
      </c>
      <c r="N20" s="121" t="s">
        <v>218</v>
      </c>
      <c r="O20" s="117"/>
      <c r="R20" s="2"/>
    </row>
    <row r="21" spans="1:18" ht="27">
      <c r="A21" s="118">
        <v>20</v>
      </c>
      <c r="B21" s="326" t="s">
        <v>221</v>
      </c>
      <c r="C21" s="121" t="s">
        <v>222</v>
      </c>
      <c r="D21" s="121" t="s">
        <v>223</v>
      </c>
      <c r="E21" s="121" t="s">
        <v>224</v>
      </c>
      <c r="F21" s="121" t="s">
        <v>225</v>
      </c>
      <c r="G21" s="121" t="s">
        <v>17</v>
      </c>
      <c r="H21" s="121">
        <v>2015</v>
      </c>
      <c r="I21" s="126" t="s">
        <v>226</v>
      </c>
      <c r="J21" s="126" t="s">
        <v>17</v>
      </c>
      <c r="K21" s="121" t="s">
        <v>297</v>
      </c>
      <c r="L21" s="121" t="s">
        <v>17</v>
      </c>
      <c r="M21" s="121" t="s">
        <v>17</v>
      </c>
      <c r="N21" s="121" t="s">
        <v>86</v>
      </c>
      <c r="O21" s="117"/>
      <c r="R21" s="2"/>
    </row>
    <row r="22" spans="1:18" ht="27">
      <c r="A22" s="118">
        <v>21</v>
      </c>
      <c r="B22" s="326" t="s">
        <v>264</v>
      </c>
      <c r="C22" s="121" t="s">
        <v>265</v>
      </c>
      <c r="D22" s="121" t="s">
        <v>266</v>
      </c>
      <c r="E22" s="121" t="s">
        <v>84</v>
      </c>
      <c r="F22" s="121">
        <v>1995</v>
      </c>
      <c r="G22" s="121">
        <v>9</v>
      </c>
      <c r="H22" s="121">
        <v>2017</v>
      </c>
      <c r="I22" s="121" t="s">
        <v>267</v>
      </c>
      <c r="J22" s="128">
        <v>95000</v>
      </c>
      <c r="K22" s="121" t="s">
        <v>296</v>
      </c>
      <c r="L22" s="121" t="s">
        <v>296</v>
      </c>
      <c r="M22" s="121" t="s">
        <v>296</v>
      </c>
      <c r="N22" s="121" t="s">
        <v>218</v>
      </c>
      <c r="O22" s="117"/>
      <c r="Q22" s="192"/>
      <c r="R22" s="2"/>
    </row>
    <row r="23" spans="1:18" ht="27.75" customHeight="1">
      <c r="A23" s="118">
        <v>22</v>
      </c>
      <c r="B23" s="326" t="s">
        <v>273</v>
      </c>
      <c r="C23" s="121" t="s">
        <v>274</v>
      </c>
      <c r="D23" s="121" t="s">
        <v>275</v>
      </c>
      <c r="E23" s="121" t="s">
        <v>174</v>
      </c>
      <c r="F23" s="121">
        <v>6788</v>
      </c>
      <c r="G23" s="121">
        <v>2</v>
      </c>
      <c r="H23" s="121">
        <v>2004</v>
      </c>
      <c r="I23" s="129" t="s">
        <v>276</v>
      </c>
      <c r="J23" s="121" t="s">
        <v>17</v>
      </c>
      <c r="K23" s="121" t="s">
        <v>295</v>
      </c>
      <c r="L23" s="121" t="s">
        <v>295</v>
      </c>
      <c r="M23" s="121" t="s">
        <v>17</v>
      </c>
      <c r="N23" s="121"/>
      <c r="O23" s="117"/>
    </row>
    <row r="24" spans="1:18" ht="27.75" customHeight="1">
      <c r="A24" s="118">
        <v>23</v>
      </c>
      <c r="B24" s="324" t="s">
        <v>313</v>
      </c>
      <c r="C24" s="119" t="s">
        <v>314</v>
      </c>
      <c r="D24" s="119" t="s">
        <v>266</v>
      </c>
      <c r="E24" s="121" t="s">
        <v>312</v>
      </c>
      <c r="F24" s="119">
        <v>2198</v>
      </c>
      <c r="G24" s="119">
        <v>18</v>
      </c>
      <c r="H24" s="119">
        <v>2017</v>
      </c>
      <c r="I24" s="123" t="s">
        <v>315</v>
      </c>
      <c r="J24" s="128">
        <v>148500</v>
      </c>
      <c r="K24" s="121" t="s">
        <v>316</v>
      </c>
      <c r="L24" s="121" t="s">
        <v>316</v>
      </c>
      <c r="M24" s="121" t="s">
        <v>316</v>
      </c>
      <c r="N24" s="127" t="s">
        <v>218</v>
      </c>
      <c r="O24" s="117"/>
      <c r="Q24" s="192"/>
    </row>
    <row r="25" spans="1:18" ht="27.75" customHeight="1">
      <c r="A25" s="118">
        <v>24</v>
      </c>
      <c r="B25" s="327" t="s">
        <v>323</v>
      </c>
      <c r="C25" s="209" t="s">
        <v>324</v>
      </c>
      <c r="D25" s="209" t="s">
        <v>325</v>
      </c>
      <c r="E25" s="209" t="s">
        <v>326</v>
      </c>
      <c r="F25" s="209">
        <v>1900</v>
      </c>
      <c r="G25" s="209">
        <v>2</v>
      </c>
      <c r="H25" s="209">
        <v>2002</v>
      </c>
      <c r="I25" s="210" t="s">
        <v>327</v>
      </c>
      <c r="J25" s="211" t="s">
        <v>17</v>
      </c>
      <c r="K25" s="121" t="s">
        <v>328</v>
      </c>
      <c r="L25" s="121" t="s">
        <v>328</v>
      </c>
      <c r="M25" s="127" t="s">
        <v>17</v>
      </c>
      <c r="N25" s="127" t="s">
        <v>218</v>
      </c>
      <c r="O25" s="117"/>
      <c r="Q25" s="192"/>
    </row>
    <row r="26" spans="1:18" ht="27.75" customHeight="1">
      <c r="A26" s="118">
        <v>25</v>
      </c>
      <c r="B26" s="327" t="s">
        <v>329</v>
      </c>
      <c r="C26" s="212" t="s">
        <v>330</v>
      </c>
      <c r="D26" s="213" t="s">
        <v>331</v>
      </c>
      <c r="E26" s="213" t="s">
        <v>85</v>
      </c>
      <c r="F26" s="214" t="s">
        <v>332</v>
      </c>
      <c r="G26" s="212" t="s">
        <v>17</v>
      </c>
      <c r="H26" s="213">
        <v>2001</v>
      </c>
      <c r="I26" s="213">
        <v>10250</v>
      </c>
      <c r="J26" s="213" t="s">
        <v>17</v>
      </c>
      <c r="K26" s="121" t="s">
        <v>328</v>
      </c>
      <c r="L26" s="121" t="s">
        <v>328</v>
      </c>
      <c r="M26" s="127" t="s">
        <v>17</v>
      </c>
      <c r="N26" s="127" t="s">
        <v>218</v>
      </c>
      <c r="O26" s="117"/>
      <c r="Q26" s="192"/>
    </row>
    <row r="27" spans="1:18" ht="27.75" customHeight="1">
      <c r="A27" s="118">
        <v>26</v>
      </c>
      <c r="B27" s="326" t="s">
        <v>307</v>
      </c>
      <c r="C27" s="121" t="s">
        <v>309</v>
      </c>
      <c r="D27" s="121">
        <v>880</v>
      </c>
      <c r="E27" s="121" t="s">
        <v>308</v>
      </c>
      <c r="F27" s="121" t="s">
        <v>17</v>
      </c>
      <c r="G27" s="121">
        <v>1</v>
      </c>
      <c r="H27" s="121">
        <v>2016</v>
      </c>
      <c r="I27" s="123" t="s">
        <v>310</v>
      </c>
      <c r="J27" s="121" t="s">
        <v>17</v>
      </c>
      <c r="K27" s="121" t="s">
        <v>311</v>
      </c>
      <c r="L27" s="121" t="s">
        <v>311</v>
      </c>
      <c r="M27" s="127" t="s">
        <v>17</v>
      </c>
      <c r="N27" s="127" t="s">
        <v>218</v>
      </c>
      <c r="O27" s="117"/>
    </row>
    <row r="28" spans="1:18">
      <c r="Q28" s="192"/>
    </row>
  </sheetData>
  <phoneticPr fontId="2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Zakładka nr 1</vt:lpstr>
      <vt:lpstr>Zakładka nr 2</vt:lpstr>
      <vt:lpstr>Zakładka nr 3</vt:lpstr>
      <vt:lpstr>Zakładka nr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AHorecka</cp:lastModifiedBy>
  <dcterms:created xsi:type="dcterms:W3CDTF">2014-05-28T12:19:35Z</dcterms:created>
  <dcterms:modified xsi:type="dcterms:W3CDTF">2019-08-23T08:44:52Z</dcterms:modified>
</cp:coreProperties>
</file>