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dpady\przetargi 2021 r\odbiór odpadów\przetarg na 1 rok i 8 części\"/>
    </mc:Choice>
  </mc:AlternateContent>
  <bookViews>
    <workbookView xWindow="0" yWindow="0" windowWidth="28800" windowHeight="12435"/>
  </bookViews>
  <sheets>
    <sheet name="wykaz cen do przetargu 2021" sheetId="15" r:id="rId1"/>
    <sheet name="odbieranie - m+u+gmina kup poj" sheetId="8" state="hidden" r:id="rId2"/>
    <sheet name="odbieranie - bez mycia" sheetId="7" state="hidden" r:id="rId3"/>
    <sheet name="odbieranie - bez mycia i utrzym" sheetId="6" state="hidden" r:id="rId4"/>
    <sheet name="odbieranie - mycie utrzymanie" sheetId="5" state="hidden" r:id="rId5"/>
    <sheet name="przetwarzanie odpadów" sheetId="1" state="hidden" r:id="rId6"/>
    <sheet name="wykaz cen przetwarzanie odpadów" sheetId="2" state="hidden" r:id="rId7"/>
    <sheet name="Arkusz1" sheetId="9" state="hidden" r:id="rId8"/>
    <sheet name="deklaracje" sheetId="11" state="hidden" r:id="rId9"/>
  </sheets>
  <definedNames>
    <definedName name="_Toc467692441" localSheetId="2">'odbieranie - bez mycia'!$C$2</definedName>
    <definedName name="_Toc467692441" localSheetId="3">'odbieranie - bez mycia i utrzym'!$C$2</definedName>
    <definedName name="_Toc467692441" localSheetId="1">'odbieranie - m+u+gmina kup poj'!$C$2</definedName>
    <definedName name="_Toc467692441" localSheetId="4">'odbieranie - mycie utrzymanie'!$C$2</definedName>
    <definedName name="_Toc467692441" localSheetId="6">'wykaz cen przetwarzanie odpadów'!$B$2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15" l="1"/>
  <c r="F133" i="15"/>
  <c r="F132" i="15"/>
  <c r="F131" i="15"/>
  <c r="F130" i="15"/>
  <c r="F129" i="15"/>
  <c r="F100" i="15"/>
  <c r="F99" i="15"/>
  <c r="F98" i="15"/>
  <c r="F97" i="15"/>
  <c r="F96" i="15"/>
  <c r="F95" i="15"/>
  <c r="F65" i="15"/>
  <c r="F63" i="15"/>
  <c r="F62" i="15"/>
  <c r="F61" i="15"/>
  <c r="F32" i="15"/>
  <c r="F31" i="15"/>
  <c r="F30" i="15"/>
  <c r="F29" i="15"/>
  <c r="F28" i="15"/>
  <c r="F27" i="15"/>
  <c r="F110" i="15" l="1"/>
  <c r="G110" i="15" s="1"/>
  <c r="F8" i="15"/>
  <c r="G8" i="15" s="1"/>
  <c r="F9" i="15" l="1"/>
  <c r="G9" i="15" s="1"/>
  <c r="D10" i="15"/>
  <c r="D44" i="15"/>
  <c r="D78" i="15"/>
  <c r="D112" i="15"/>
  <c r="F114" i="15"/>
  <c r="G114" i="15" s="1"/>
  <c r="F113" i="15"/>
  <c r="G113" i="15" s="1"/>
  <c r="E112" i="15"/>
  <c r="F111" i="15"/>
  <c r="G111" i="15" s="1"/>
  <c r="F80" i="15"/>
  <c r="G80" i="15" s="1"/>
  <c r="F79" i="15"/>
  <c r="G79" i="15" s="1"/>
  <c r="E78" i="15"/>
  <c r="F77" i="15"/>
  <c r="G77" i="15" s="1"/>
  <c r="F76" i="15"/>
  <c r="G76" i="15" s="1"/>
  <c r="F46" i="15"/>
  <c r="G46" i="15" s="1"/>
  <c r="F45" i="15"/>
  <c r="G45" i="15" s="1"/>
  <c r="E44" i="15"/>
  <c r="F43" i="15"/>
  <c r="G43" i="15" s="1"/>
  <c r="F42" i="15"/>
  <c r="G42" i="15" s="1"/>
  <c r="F12" i="15"/>
  <c r="G12" i="15" s="1"/>
  <c r="F11" i="15"/>
  <c r="G11" i="15" s="1"/>
  <c r="E10" i="15"/>
  <c r="F10" i="15" l="1"/>
  <c r="G10" i="15" s="1"/>
  <c r="F78" i="15"/>
  <c r="G78" i="15" s="1"/>
  <c r="F112" i="15"/>
  <c r="G112" i="15" s="1"/>
  <c r="F44" i="15"/>
  <c r="G44" i="15" s="1"/>
  <c r="G43" i="8" l="1"/>
  <c r="G43" i="7"/>
  <c r="D57" i="11" l="1"/>
  <c r="D59" i="11"/>
  <c r="D52" i="11"/>
  <c r="D53" i="11"/>
  <c r="D54" i="11"/>
  <c r="D55" i="11"/>
  <c r="D51" i="11"/>
  <c r="E23" i="7" l="1"/>
  <c r="E22" i="7"/>
  <c r="A48" i="7"/>
  <c r="A49" i="7"/>
  <c r="C11" i="11"/>
  <c r="D11" i="11"/>
  <c r="E11" i="11"/>
  <c r="E46" i="11" s="1"/>
  <c r="F11" i="11"/>
  <c r="G11" i="11"/>
  <c r="H11" i="11"/>
  <c r="I11" i="11"/>
  <c r="I46" i="11" s="1"/>
  <c r="J11" i="11"/>
  <c r="K11" i="11"/>
  <c r="C44" i="11"/>
  <c r="D44" i="11"/>
  <c r="E44" i="11"/>
  <c r="F44" i="11"/>
  <c r="G44" i="11"/>
  <c r="H44" i="11"/>
  <c r="I44" i="11"/>
  <c r="J44" i="11"/>
  <c r="K44" i="11"/>
  <c r="B44" i="11"/>
  <c r="K34" i="11"/>
  <c r="J34" i="11"/>
  <c r="I34" i="11"/>
  <c r="H34" i="11"/>
  <c r="G34" i="11"/>
  <c r="F34" i="11"/>
  <c r="E34" i="11"/>
  <c r="D34" i="11"/>
  <c r="C34" i="11"/>
  <c r="B34" i="11"/>
  <c r="K21" i="11"/>
  <c r="J21" i="11"/>
  <c r="I21" i="11"/>
  <c r="H21" i="11"/>
  <c r="G21" i="11"/>
  <c r="F21" i="11"/>
  <c r="E21" i="11"/>
  <c r="D21" i="11"/>
  <c r="C21" i="11"/>
  <c r="B21" i="11"/>
  <c r="B11" i="11"/>
  <c r="D64" i="11" l="1"/>
  <c r="E64" i="11" s="1"/>
  <c r="A50" i="7"/>
  <c r="J46" i="11"/>
  <c r="F46" i="11"/>
  <c r="H46" i="11"/>
  <c r="D63" i="11"/>
  <c r="E63" i="11" s="1"/>
  <c r="D46" i="11"/>
  <c r="K46" i="11"/>
  <c r="G46" i="11"/>
  <c r="C46" i="11"/>
  <c r="B46" i="11"/>
  <c r="D65" i="11"/>
  <c r="E65" i="11" s="1"/>
  <c r="D66" i="11"/>
  <c r="E66" i="11" s="1"/>
  <c r="D56" i="11"/>
  <c r="J47" i="7"/>
  <c r="G32" i="8"/>
  <c r="G33" i="8"/>
  <c r="G31" i="8"/>
  <c r="G32" i="6"/>
  <c r="G33" i="6"/>
  <c r="G31" i="6"/>
  <c r="G32" i="5"/>
  <c r="G33" i="5"/>
  <c r="G31" i="5"/>
  <c r="G49" i="7"/>
  <c r="G45" i="7"/>
  <c r="G34" i="7"/>
  <c r="F49" i="11" l="1"/>
  <c r="G34" i="8"/>
  <c r="G34" i="6"/>
  <c r="G34" i="5"/>
  <c r="G46" i="7"/>
  <c r="G50" i="7"/>
  <c r="D58" i="11"/>
  <c r="C48" i="11"/>
  <c r="E49" i="11"/>
  <c r="K6" i="9" l="1"/>
  <c r="J97" i="8" l="1"/>
  <c r="H50" i="8" l="1"/>
  <c r="I50" i="8"/>
  <c r="G50" i="8"/>
  <c r="G47" i="8"/>
  <c r="J50" i="8"/>
  <c r="J49" i="8"/>
  <c r="J48" i="8"/>
  <c r="J47" i="8"/>
  <c r="F86" i="8"/>
  <c r="F85" i="8"/>
  <c r="F84" i="8"/>
  <c r="F83" i="8"/>
  <c r="F80" i="8" l="1"/>
  <c r="F79" i="8"/>
  <c r="F78" i="8"/>
  <c r="F77" i="8"/>
  <c r="G77" i="8" s="1"/>
  <c r="D77" i="8"/>
  <c r="I77" i="8" s="1"/>
  <c r="F74" i="8"/>
  <c r="D74" i="8"/>
  <c r="I74" i="8" s="1"/>
  <c r="F73" i="8"/>
  <c r="F72" i="8"/>
  <c r="F62" i="8"/>
  <c r="D62" i="8"/>
  <c r="J51" i="8"/>
  <c r="F46" i="8"/>
  <c r="F42" i="8"/>
  <c r="G40" i="8"/>
  <c r="H39" i="8"/>
  <c r="G38" i="8"/>
  <c r="H38" i="8" s="1"/>
  <c r="G37" i="8"/>
  <c r="G41" i="8" s="1"/>
  <c r="D79" i="8" s="1"/>
  <c r="I79" i="8" s="1"/>
  <c r="M36" i="8"/>
  <c r="Q36" i="8" s="1"/>
  <c r="J34" i="8"/>
  <c r="J38" i="8" s="1"/>
  <c r="J42" i="8" s="1"/>
  <c r="H34" i="8"/>
  <c r="F34" i="8"/>
  <c r="J33" i="8"/>
  <c r="M33" i="8" s="1"/>
  <c r="Q33" i="8" s="1"/>
  <c r="H33" i="8"/>
  <c r="I33" i="8" s="1"/>
  <c r="P32" i="8"/>
  <c r="P33" i="8" s="1"/>
  <c r="P34" i="8" s="1"/>
  <c r="P35" i="8" s="1"/>
  <c r="P36" i="8" s="1"/>
  <c r="P37" i="8" s="1"/>
  <c r="P38" i="8" s="1"/>
  <c r="P39" i="8" s="1"/>
  <c r="P40" i="8" s="1"/>
  <c r="P41" i="8" s="1"/>
  <c r="P42" i="8" s="1"/>
  <c r="P43" i="8" s="1"/>
  <c r="P44" i="8" s="1"/>
  <c r="P45" i="8" s="1"/>
  <c r="P46" i="8" s="1"/>
  <c r="P47" i="8" s="1"/>
  <c r="J32" i="8"/>
  <c r="J40" i="8" s="1"/>
  <c r="J44" i="8" s="1"/>
  <c r="H32" i="8"/>
  <c r="I32" i="8" s="1"/>
  <c r="A32" i="8"/>
  <c r="J31" i="8"/>
  <c r="J39" i="8" s="1"/>
  <c r="J43" i="8" s="1"/>
  <c r="H31" i="8"/>
  <c r="I31" i="8" s="1"/>
  <c r="I29" i="8"/>
  <c r="K36" i="8" s="1"/>
  <c r="L36" i="8" s="1"/>
  <c r="O36" i="8" s="1"/>
  <c r="S36" i="8" s="1"/>
  <c r="N24" i="8"/>
  <c r="I23" i="8"/>
  <c r="J23" i="8" s="1"/>
  <c r="G23" i="8"/>
  <c r="F23" i="8"/>
  <c r="E23" i="8"/>
  <c r="K22" i="8"/>
  <c r="K23" i="8" s="1"/>
  <c r="K16" i="8" s="1"/>
  <c r="I22" i="8"/>
  <c r="J22" i="8" s="1"/>
  <c r="G22" i="8"/>
  <c r="F22" i="8"/>
  <c r="E22" i="8"/>
  <c r="L21" i="8"/>
  <c r="I21" i="8"/>
  <c r="M21" i="8" s="1"/>
  <c r="G21" i="8"/>
  <c r="F21" i="8"/>
  <c r="E21" i="8"/>
  <c r="I16" i="8"/>
  <c r="G16" i="8"/>
  <c r="F16" i="8"/>
  <c r="E16" i="8"/>
  <c r="I15" i="8"/>
  <c r="J15" i="8" s="1"/>
  <c r="G15" i="8"/>
  <c r="F15" i="8"/>
  <c r="E15" i="8"/>
  <c r="I14" i="8"/>
  <c r="G14" i="8"/>
  <c r="F14" i="8"/>
  <c r="E14" i="8"/>
  <c r="I13" i="8"/>
  <c r="J13" i="8" s="1"/>
  <c r="G13" i="8"/>
  <c r="F13" i="8"/>
  <c r="E13" i="8"/>
  <c r="I12" i="8"/>
  <c r="J12" i="8" s="1"/>
  <c r="G12" i="8"/>
  <c r="I35" i="8" s="1"/>
  <c r="F12" i="8"/>
  <c r="H35" i="8" s="1"/>
  <c r="E12" i="8"/>
  <c r="G35" i="8" s="1"/>
  <c r="I11" i="8"/>
  <c r="J11" i="8" s="1"/>
  <c r="G11" i="8"/>
  <c r="F11" i="8"/>
  <c r="E11" i="8"/>
  <c r="K10" i="8"/>
  <c r="K11" i="8" s="1"/>
  <c r="I10" i="8"/>
  <c r="G10" i="8"/>
  <c r="F10" i="8"/>
  <c r="E10" i="8"/>
  <c r="I9" i="8"/>
  <c r="J9" i="8" s="1"/>
  <c r="G9" i="8"/>
  <c r="F9" i="8"/>
  <c r="E9" i="8"/>
  <c r="L9" i="8" s="1"/>
  <c r="F88" i="5"/>
  <c r="F89" i="5"/>
  <c r="F87" i="5"/>
  <c r="D89" i="5"/>
  <c r="G89" i="5" s="1"/>
  <c r="G81" i="5"/>
  <c r="I89" i="5" l="1"/>
  <c r="J89" i="5" s="1"/>
  <c r="M9" i="8"/>
  <c r="N9" i="8"/>
  <c r="D78" i="8"/>
  <c r="I78" i="8" s="1"/>
  <c r="G44" i="8"/>
  <c r="D84" i="8" s="1"/>
  <c r="J77" i="8"/>
  <c r="M38" i="8"/>
  <c r="Q38" i="8" s="1"/>
  <c r="K44" i="8"/>
  <c r="L44" i="8" s="1"/>
  <c r="G42" i="8"/>
  <c r="G46" i="8" s="1"/>
  <c r="H46" i="8" s="1"/>
  <c r="I46" i="8" s="1"/>
  <c r="G98" i="8"/>
  <c r="G79" i="8"/>
  <c r="J79" i="8" s="1"/>
  <c r="M32" i="8"/>
  <c r="Q32" i="8" s="1"/>
  <c r="H37" i="8"/>
  <c r="I37" i="8" s="1"/>
  <c r="H40" i="8"/>
  <c r="H48" i="8" s="1"/>
  <c r="G48" i="8"/>
  <c r="D83" i="8"/>
  <c r="J21" i="8"/>
  <c r="J37" i="8"/>
  <c r="J41" i="8" s="1"/>
  <c r="K41" i="8" s="1"/>
  <c r="L41" i="8" s="1"/>
  <c r="H43" i="8"/>
  <c r="I43" i="8" s="1"/>
  <c r="L22" i="8"/>
  <c r="M31" i="8"/>
  <c r="Q31" i="8" s="1"/>
  <c r="M40" i="8"/>
  <c r="Q40" i="8" s="1"/>
  <c r="G51" i="8"/>
  <c r="M51" i="8" s="1"/>
  <c r="Q51" i="8" s="1"/>
  <c r="M22" i="8"/>
  <c r="K51" i="8"/>
  <c r="L51" i="8" s="1"/>
  <c r="I39" i="8"/>
  <c r="I47" i="8" s="1"/>
  <c r="H47" i="8"/>
  <c r="G74" i="8"/>
  <c r="J74" i="8" s="1"/>
  <c r="L11" i="8"/>
  <c r="K12" i="8"/>
  <c r="K13" i="8" s="1"/>
  <c r="N11" i="8"/>
  <c r="M11" i="8"/>
  <c r="K42" i="8"/>
  <c r="L42" i="8" s="1"/>
  <c r="J46" i="8"/>
  <c r="P48" i="8"/>
  <c r="P49" i="8"/>
  <c r="P50" i="8" s="1"/>
  <c r="P51" i="8" s="1"/>
  <c r="I38" i="8"/>
  <c r="L10" i="8"/>
  <c r="M16" i="8"/>
  <c r="N36" i="8"/>
  <c r="R36" i="8" s="1"/>
  <c r="J16" i="8"/>
  <c r="N16" i="8" s="1"/>
  <c r="H51" i="8"/>
  <c r="L23" i="8"/>
  <c r="K34" i="8"/>
  <c r="L34" i="8" s="1"/>
  <c r="M47" i="8"/>
  <c r="Q47" i="8" s="1"/>
  <c r="F6" i="8"/>
  <c r="M10" i="8"/>
  <c r="L16" i="8"/>
  <c r="M23" i="8"/>
  <c r="K31" i="8"/>
  <c r="K40" i="8"/>
  <c r="L40" i="8" s="1"/>
  <c r="J10" i="8"/>
  <c r="N10" i="8" s="1"/>
  <c r="J14" i="8"/>
  <c r="K33" i="8"/>
  <c r="M34" i="8"/>
  <c r="Q34" i="8" s="1"/>
  <c r="K35" i="8"/>
  <c r="L35" i="8" s="1"/>
  <c r="O35" i="8" s="1"/>
  <c r="S35" i="8" s="1"/>
  <c r="H41" i="8"/>
  <c r="K38" i="8"/>
  <c r="L38" i="8" s="1"/>
  <c r="G45" i="8"/>
  <c r="K32" i="8"/>
  <c r="K39" i="8"/>
  <c r="L39" i="8" s="1"/>
  <c r="K48" i="8"/>
  <c r="L48" i="8" s="1"/>
  <c r="L48" i="7" s="1"/>
  <c r="K47" i="8"/>
  <c r="L47" i="8" s="1"/>
  <c r="L47" i="7" s="1"/>
  <c r="I51" i="8"/>
  <c r="K43" i="8"/>
  <c r="L43" i="8" s="1"/>
  <c r="M39" i="8"/>
  <c r="Q39" i="8" s="1"/>
  <c r="M43" i="8"/>
  <c r="Q43" i="8" s="1"/>
  <c r="M35" i="8"/>
  <c r="Q35" i="8" s="1"/>
  <c r="I34" i="8"/>
  <c r="G78" i="8" l="1"/>
  <c r="O43" i="8"/>
  <c r="S43" i="8" s="1"/>
  <c r="N51" i="8"/>
  <c r="R51" i="8" s="1"/>
  <c r="N38" i="8"/>
  <c r="R38" i="8" s="1"/>
  <c r="M46" i="8"/>
  <c r="Q46" i="8" s="1"/>
  <c r="L24" i="8"/>
  <c r="M42" i="8"/>
  <c r="Q42" i="8" s="1"/>
  <c r="D86" i="8"/>
  <c r="G86" i="8" s="1"/>
  <c r="D80" i="8"/>
  <c r="I80" i="8" s="1"/>
  <c r="H42" i="8"/>
  <c r="N42" i="8" s="1"/>
  <c r="R42" i="8" s="1"/>
  <c r="J78" i="8"/>
  <c r="O34" i="8"/>
  <c r="S34" i="8" s="1"/>
  <c r="N48" i="8"/>
  <c r="R48" i="8" s="1"/>
  <c r="O39" i="8"/>
  <c r="S39" i="8" s="1"/>
  <c r="I40" i="8"/>
  <c r="I48" i="8" s="1"/>
  <c r="O48" i="8" s="1"/>
  <c r="S48" i="8" s="1"/>
  <c r="N12" i="8"/>
  <c r="M24" i="8"/>
  <c r="E60" i="8" s="1"/>
  <c r="F60" i="8" s="1"/>
  <c r="J45" i="8"/>
  <c r="M45" i="8" s="1"/>
  <c r="Q45" i="8" s="1"/>
  <c r="N34" i="8"/>
  <c r="R34" i="8" s="1"/>
  <c r="I86" i="8"/>
  <c r="G83" i="8"/>
  <c r="I83" i="8"/>
  <c r="O51" i="8"/>
  <c r="S51" i="8" s="1"/>
  <c r="N39" i="8"/>
  <c r="R39" i="8" s="1"/>
  <c r="I84" i="8"/>
  <c r="G84" i="8"/>
  <c r="G49" i="8"/>
  <c r="G54" i="8" s="1"/>
  <c r="D85" i="8"/>
  <c r="N40" i="8"/>
  <c r="R40" i="8" s="1"/>
  <c r="M41" i="8"/>
  <c r="Q41" i="8" s="1"/>
  <c r="K37" i="8"/>
  <c r="L37" i="8" s="1"/>
  <c r="O37" i="8" s="1"/>
  <c r="S37" i="8" s="1"/>
  <c r="M37" i="8"/>
  <c r="Q37" i="8" s="1"/>
  <c r="D97" i="8" s="1"/>
  <c r="N47" i="8"/>
  <c r="R47" i="8" s="1"/>
  <c r="K49" i="8"/>
  <c r="L49" i="8" s="1"/>
  <c r="K45" i="8"/>
  <c r="L45" i="8" s="1"/>
  <c r="N41" i="8"/>
  <c r="R41" i="8" s="1"/>
  <c r="I41" i="8"/>
  <c r="O41" i="8" s="1"/>
  <c r="S41" i="8" s="1"/>
  <c r="L31" i="8"/>
  <c r="O31" i="8" s="1"/>
  <c r="S31" i="8" s="1"/>
  <c r="N31" i="8"/>
  <c r="R31" i="8" s="1"/>
  <c r="N32" i="8"/>
  <c r="R32" i="8" s="1"/>
  <c r="L32" i="8"/>
  <c r="O32" i="8" s="1"/>
  <c r="S32" i="8" s="1"/>
  <c r="N35" i="8"/>
  <c r="R35" i="8" s="1"/>
  <c r="H45" i="8"/>
  <c r="H49" i="8" s="1"/>
  <c r="L13" i="8"/>
  <c r="K14" i="8"/>
  <c r="N14" i="8" s="1"/>
  <c r="N13" i="8"/>
  <c r="L33" i="8"/>
  <c r="O33" i="8" s="1"/>
  <c r="S33" i="8" s="1"/>
  <c r="N33" i="8"/>
  <c r="R33" i="8" s="1"/>
  <c r="N43" i="8"/>
  <c r="R43" i="8" s="1"/>
  <c r="D72" i="8"/>
  <c r="I72" i="8" s="1"/>
  <c r="M48" i="8"/>
  <c r="Q48" i="8" s="1"/>
  <c r="O38" i="8"/>
  <c r="S38" i="8" s="1"/>
  <c r="K46" i="8"/>
  <c r="M13" i="8"/>
  <c r="M12" i="8"/>
  <c r="L12" i="8"/>
  <c r="M44" i="8"/>
  <c r="Q44" i="8" s="1"/>
  <c r="H44" i="8"/>
  <c r="O47" i="8"/>
  <c r="S47" i="8" s="1"/>
  <c r="L25" i="8" l="1"/>
  <c r="J86" i="8"/>
  <c r="D60" i="8"/>
  <c r="G80" i="8"/>
  <c r="N81" i="8" s="1"/>
  <c r="F97" i="8"/>
  <c r="J84" i="8"/>
  <c r="N37" i="8"/>
  <c r="R37" i="8" s="1"/>
  <c r="I42" i="8"/>
  <c r="O42" i="8" s="1"/>
  <c r="S42" i="8" s="1"/>
  <c r="O40" i="8"/>
  <c r="S40" i="8" s="1"/>
  <c r="J83" i="8"/>
  <c r="I85" i="8"/>
  <c r="G85" i="8"/>
  <c r="G72" i="8"/>
  <c r="D73" i="8"/>
  <c r="M49" i="8"/>
  <c r="Q49" i="8" s="1"/>
  <c r="I44" i="8"/>
  <c r="O44" i="8" s="1"/>
  <c r="S44" i="8" s="1"/>
  <c r="N44" i="8"/>
  <c r="R44" i="8" s="1"/>
  <c r="L46" i="8"/>
  <c r="O46" i="8" s="1"/>
  <c r="S46" i="8" s="1"/>
  <c r="N46" i="8"/>
  <c r="R46" i="8" s="1"/>
  <c r="I45" i="8"/>
  <c r="N45" i="8"/>
  <c r="R45" i="8" s="1"/>
  <c r="M50" i="8"/>
  <c r="Q50" i="8" s="1"/>
  <c r="K50" i="8"/>
  <c r="E97" i="8"/>
  <c r="K15" i="8"/>
  <c r="M14" i="8"/>
  <c r="L14" i="8"/>
  <c r="J80" i="8" l="1"/>
  <c r="J81" i="8" s="1"/>
  <c r="M81" i="8"/>
  <c r="G97" i="8"/>
  <c r="J85" i="8"/>
  <c r="J87" i="8" s="1"/>
  <c r="O45" i="8"/>
  <c r="S45" i="8" s="1"/>
  <c r="I49" i="8"/>
  <c r="O49" i="8" s="1"/>
  <c r="S49" i="8" s="1"/>
  <c r="J72" i="8"/>
  <c r="Q52" i="8"/>
  <c r="N50" i="8"/>
  <c r="R50" i="8" s="1"/>
  <c r="L50" i="8"/>
  <c r="O50" i="8" s="1"/>
  <c r="S50" i="8" s="1"/>
  <c r="M15" i="8"/>
  <c r="M17" i="8" s="1"/>
  <c r="E59" i="8" s="1"/>
  <c r="L15" i="8"/>
  <c r="L17" i="8" s="1"/>
  <c r="N15" i="8"/>
  <c r="N17" i="8" s="1"/>
  <c r="F59" i="8" s="1"/>
  <c r="I73" i="8"/>
  <c r="G73" i="8"/>
  <c r="N49" i="8"/>
  <c r="R49" i="8" s="1"/>
  <c r="D61" i="8" l="1"/>
  <c r="L75" i="8"/>
  <c r="L89" i="8" s="1"/>
  <c r="N75" i="8"/>
  <c r="N89" i="8" s="1"/>
  <c r="M75" i="8"/>
  <c r="M89" i="8" s="1"/>
  <c r="J73" i="8"/>
  <c r="J75" i="8" s="1"/>
  <c r="S52" i="8"/>
  <c r="R52" i="8"/>
  <c r="L18" i="8"/>
  <c r="D59" i="8"/>
  <c r="E61" i="8" l="1"/>
  <c r="F61" i="8"/>
  <c r="Q53" i="8"/>
  <c r="R54" i="8" s="1"/>
  <c r="E89" i="8" s="1"/>
  <c r="S54" i="8" l="1"/>
  <c r="F89" i="8" s="1"/>
  <c r="Q54" i="8"/>
  <c r="D89" i="8" s="1"/>
  <c r="J34" i="7"/>
  <c r="J38" i="7" s="1"/>
  <c r="J33" i="7"/>
  <c r="M33" i="7" s="1"/>
  <c r="Q33" i="7" s="1"/>
  <c r="J32" i="7"/>
  <c r="J40" i="7" s="1"/>
  <c r="J44" i="7" s="1"/>
  <c r="J31" i="7"/>
  <c r="M31" i="7" s="1"/>
  <c r="Q31" i="7" s="1"/>
  <c r="F62" i="7"/>
  <c r="D62" i="7"/>
  <c r="H50" i="7"/>
  <c r="I50" i="7" s="1"/>
  <c r="F46" i="7"/>
  <c r="F42" i="7"/>
  <c r="G40" i="7"/>
  <c r="H39" i="7"/>
  <c r="G38" i="7"/>
  <c r="G37" i="7"/>
  <c r="M36" i="7"/>
  <c r="Q36" i="7" s="1"/>
  <c r="H34" i="7"/>
  <c r="F34" i="7"/>
  <c r="H33" i="7"/>
  <c r="P32" i="7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H32" i="7"/>
  <c r="A32" i="7"/>
  <c r="H31" i="7"/>
  <c r="I31" i="7" s="1"/>
  <c r="I29" i="7"/>
  <c r="K34" i="7" s="1"/>
  <c r="L34" i="7" s="1"/>
  <c r="I23" i="7"/>
  <c r="J23" i="7" s="1"/>
  <c r="G23" i="7"/>
  <c r="F23" i="7"/>
  <c r="K22" i="7"/>
  <c r="L22" i="7" s="1"/>
  <c r="I22" i="7"/>
  <c r="G22" i="7"/>
  <c r="F22" i="7"/>
  <c r="I21" i="7"/>
  <c r="M21" i="7" s="1"/>
  <c r="G21" i="7"/>
  <c r="F21" i="7"/>
  <c r="E21" i="7"/>
  <c r="I16" i="7"/>
  <c r="G16" i="7"/>
  <c r="F16" i="7"/>
  <c r="E16" i="7"/>
  <c r="I15" i="7"/>
  <c r="J15" i="7" s="1"/>
  <c r="G15" i="7"/>
  <c r="F15" i="7"/>
  <c r="E15" i="7"/>
  <c r="I14" i="7"/>
  <c r="G14" i="7"/>
  <c r="F14" i="7"/>
  <c r="E14" i="7"/>
  <c r="I13" i="7"/>
  <c r="J13" i="7" s="1"/>
  <c r="G13" i="7"/>
  <c r="F13" i="7"/>
  <c r="E13" i="7"/>
  <c r="I12" i="7"/>
  <c r="G12" i="7"/>
  <c r="F12" i="7"/>
  <c r="E12" i="7"/>
  <c r="I11" i="7"/>
  <c r="J11" i="7" s="1"/>
  <c r="G11" i="7"/>
  <c r="F11" i="7"/>
  <c r="E11" i="7"/>
  <c r="K10" i="7"/>
  <c r="K11" i="7" s="1"/>
  <c r="I10" i="7"/>
  <c r="G10" i="7"/>
  <c r="F10" i="7"/>
  <c r="E10" i="7"/>
  <c r="I9" i="7"/>
  <c r="J9" i="7" s="1"/>
  <c r="N9" i="7" s="1"/>
  <c r="G9" i="7"/>
  <c r="F9" i="7"/>
  <c r="E9" i="7"/>
  <c r="F6" i="7"/>
  <c r="J34" i="6"/>
  <c r="J33" i="6"/>
  <c r="M33" i="6" s="1"/>
  <c r="Q33" i="6" s="1"/>
  <c r="J32" i="6"/>
  <c r="J40" i="6" s="1"/>
  <c r="J31" i="6"/>
  <c r="J39" i="6" s="1"/>
  <c r="F62" i="6"/>
  <c r="D62" i="6"/>
  <c r="H50" i="6"/>
  <c r="I50" i="6" s="1"/>
  <c r="G47" i="6"/>
  <c r="F46" i="6"/>
  <c r="G43" i="6"/>
  <c r="F42" i="6"/>
  <c r="G40" i="6"/>
  <c r="H40" i="6" s="1"/>
  <c r="H39" i="6"/>
  <c r="I39" i="6" s="1"/>
  <c r="G38" i="6"/>
  <c r="H38" i="6" s="1"/>
  <c r="I38" i="6" s="1"/>
  <c r="G37" i="6"/>
  <c r="M36" i="6"/>
  <c r="Q36" i="6" s="1"/>
  <c r="M34" i="6"/>
  <c r="Q34" i="6" s="1"/>
  <c r="H34" i="6"/>
  <c r="F34" i="6"/>
  <c r="H33" i="6"/>
  <c r="I33" i="6" s="1"/>
  <c r="P32" i="6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H32" i="6"/>
  <c r="I32" i="6" s="1"/>
  <c r="A32" i="6"/>
  <c r="H31" i="6"/>
  <c r="I31" i="6" s="1"/>
  <c r="I29" i="6"/>
  <c r="K36" i="6" s="1"/>
  <c r="L36" i="6" s="1"/>
  <c r="O36" i="6" s="1"/>
  <c r="S36" i="6" s="1"/>
  <c r="N24" i="6"/>
  <c r="I23" i="6"/>
  <c r="J23" i="6" s="1"/>
  <c r="G23" i="6"/>
  <c r="F23" i="6"/>
  <c r="E23" i="6"/>
  <c r="L22" i="6"/>
  <c r="K22" i="6"/>
  <c r="K23" i="6" s="1"/>
  <c r="I22" i="6"/>
  <c r="J22" i="6" s="1"/>
  <c r="G22" i="6"/>
  <c r="F22" i="6"/>
  <c r="E22" i="6"/>
  <c r="L21" i="6"/>
  <c r="I21" i="6"/>
  <c r="J21" i="6" s="1"/>
  <c r="G21" i="6"/>
  <c r="F21" i="6"/>
  <c r="E21" i="6"/>
  <c r="I16" i="6"/>
  <c r="G16" i="6"/>
  <c r="F16" i="6"/>
  <c r="E16" i="6"/>
  <c r="I15" i="6"/>
  <c r="J15" i="6" s="1"/>
  <c r="G15" i="6"/>
  <c r="F15" i="6"/>
  <c r="E15" i="6"/>
  <c r="I14" i="6"/>
  <c r="G14" i="6"/>
  <c r="F14" i="6"/>
  <c r="E14" i="6"/>
  <c r="I13" i="6"/>
  <c r="J13" i="6" s="1"/>
  <c r="G13" i="6"/>
  <c r="F13" i="6"/>
  <c r="E13" i="6"/>
  <c r="I12" i="6"/>
  <c r="G12" i="6"/>
  <c r="I35" i="6" s="1"/>
  <c r="F12" i="6"/>
  <c r="H35" i="6" s="1"/>
  <c r="E12" i="6"/>
  <c r="I11" i="6"/>
  <c r="J11" i="6" s="1"/>
  <c r="G11" i="6"/>
  <c r="F11" i="6"/>
  <c r="E11" i="6"/>
  <c r="K10" i="6"/>
  <c r="K11" i="6" s="1"/>
  <c r="K12" i="6" s="1"/>
  <c r="K13" i="6" s="1"/>
  <c r="K14" i="6" s="1"/>
  <c r="K15" i="6" s="1"/>
  <c r="I10" i="6"/>
  <c r="G10" i="6"/>
  <c r="F10" i="6"/>
  <c r="H51" i="6" s="1"/>
  <c r="E10" i="6"/>
  <c r="J9" i="6"/>
  <c r="I9" i="6"/>
  <c r="G9" i="6"/>
  <c r="F9" i="6"/>
  <c r="E9" i="6"/>
  <c r="L9" i="6" s="1"/>
  <c r="F6" i="6"/>
  <c r="G47" i="5"/>
  <c r="G40" i="5"/>
  <c r="G48" i="5" s="1"/>
  <c r="L15" i="6" l="1"/>
  <c r="M22" i="6"/>
  <c r="M31" i="6"/>
  <c r="Q31" i="6" s="1"/>
  <c r="J37" i="6"/>
  <c r="M37" i="6" s="1"/>
  <c r="Q37" i="6" s="1"/>
  <c r="J37" i="7"/>
  <c r="M37" i="7" s="1"/>
  <c r="Q37" i="7" s="1"/>
  <c r="M9" i="6"/>
  <c r="L11" i="6"/>
  <c r="N9" i="6"/>
  <c r="G35" i="6"/>
  <c r="M35" i="6" s="1"/>
  <c r="Q35" i="6" s="1"/>
  <c r="L13" i="6"/>
  <c r="K34" i="6"/>
  <c r="L34" i="6" s="1"/>
  <c r="K37" i="6"/>
  <c r="L37" i="6" s="1"/>
  <c r="H47" i="6"/>
  <c r="H5" i="7"/>
  <c r="L9" i="7"/>
  <c r="H51" i="7"/>
  <c r="H35" i="7"/>
  <c r="H47" i="7"/>
  <c r="I51" i="6"/>
  <c r="N11" i="6"/>
  <c r="M32" i="6"/>
  <c r="Q32" i="6" s="1"/>
  <c r="K35" i="6"/>
  <c r="L35" i="6" s="1"/>
  <c r="M9" i="7"/>
  <c r="M10" i="7"/>
  <c r="I35" i="7"/>
  <c r="J22" i="7"/>
  <c r="N22" i="7" s="1"/>
  <c r="M22" i="7"/>
  <c r="M32" i="7"/>
  <c r="Q32" i="7" s="1"/>
  <c r="G41" i="7"/>
  <c r="H40" i="7"/>
  <c r="G44" i="7"/>
  <c r="J41" i="7"/>
  <c r="M41" i="7" s="1"/>
  <c r="Q41" i="7" s="1"/>
  <c r="L10" i="7"/>
  <c r="G51" i="7"/>
  <c r="G35" i="7"/>
  <c r="M35" i="7" s="1"/>
  <c r="Q35" i="7" s="1"/>
  <c r="G47" i="7"/>
  <c r="L21" i="7"/>
  <c r="K23" i="7"/>
  <c r="N23" i="7" s="1"/>
  <c r="G48" i="6"/>
  <c r="D87" i="5"/>
  <c r="J39" i="7"/>
  <c r="J43" i="7" s="1"/>
  <c r="M43" i="7" s="1"/>
  <c r="Q43" i="7" s="1"/>
  <c r="K12" i="7"/>
  <c r="K13" i="7" s="1"/>
  <c r="M11" i="7"/>
  <c r="L11" i="7"/>
  <c r="N11" i="7"/>
  <c r="N34" i="7"/>
  <c r="R34" i="7" s="1"/>
  <c r="K35" i="7"/>
  <c r="K31" i="7"/>
  <c r="P48" i="7"/>
  <c r="P49" i="7"/>
  <c r="P50" i="7" s="1"/>
  <c r="P51" i="7" s="1"/>
  <c r="J42" i="7"/>
  <c r="K38" i="7"/>
  <c r="L38" i="7" s="1"/>
  <c r="H41" i="7"/>
  <c r="H38" i="7"/>
  <c r="G42" i="7"/>
  <c r="J10" i="7"/>
  <c r="N10" i="7" s="1"/>
  <c r="J14" i="7"/>
  <c r="I32" i="7"/>
  <c r="H37" i="7"/>
  <c r="J21" i="7"/>
  <c r="N21" i="7" s="1"/>
  <c r="K37" i="7"/>
  <c r="L37" i="7" s="1"/>
  <c r="M38" i="7"/>
  <c r="Q38" i="7" s="1"/>
  <c r="I40" i="7"/>
  <c r="K36" i="7"/>
  <c r="K33" i="7"/>
  <c r="L33" i="7" s="1"/>
  <c r="K32" i="7"/>
  <c r="L32" i="7" s="1"/>
  <c r="K44" i="7"/>
  <c r="L44" i="7" s="1"/>
  <c r="J16" i="7"/>
  <c r="I33" i="7"/>
  <c r="K40" i="7"/>
  <c r="L40" i="7" s="1"/>
  <c r="J12" i="7"/>
  <c r="I51" i="7"/>
  <c r="M34" i="7"/>
  <c r="Q34" i="7" s="1"/>
  <c r="M40" i="7"/>
  <c r="Q40" i="7" s="1"/>
  <c r="I39" i="7"/>
  <c r="I47" i="7" s="1"/>
  <c r="I34" i="7"/>
  <c r="O34" i="7" s="1"/>
  <c r="S34" i="7" s="1"/>
  <c r="H43" i="7"/>
  <c r="J41" i="6"/>
  <c r="K41" i="6" s="1"/>
  <c r="L41" i="6" s="1"/>
  <c r="J44" i="6"/>
  <c r="K44" i="6" s="1"/>
  <c r="L44" i="6" s="1"/>
  <c r="K40" i="6"/>
  <c r="L40" i="6" s="1"/>
  <c r="P48" i="6"/>
  <c r="P49" i="6"/>
  <c r="P50" i="6" s="1"/>
  <c r="P51" i="6" s="1"/>
  <c r="N15" i="6"/>
  <c r="M13" i="6"/>
  <c r="J14" i="6"/>
  <c r="N14" i="6" s="1"/>
  <c r="M14" i="6"/>
  <c r="I47" i="6"/>
  <c r="H43" i="6"/>
  <c r="G51" i="6"/>
  <c r="N35" i="6"/>
  <c r="R35" i="6" s="1"/>
  <c r="N13" i="6"/>
  <c r="O35" i="6"/>
  <c r="S35" i="6" s="1"/>
  <c r="M15" i="6"/>
  <c r="N34" i="6"/>
  <c r="R34" i="6" s="1"/>
  <c r="M12" i="6"/>
  <c r="J12" i="6"/>
  <c r="N12" i="6" s="1"/>
  <c r="L14" i="6"/>
  <c r="J16" i="6"/>
  <c r="J43" i="6"/>
  <c r="M39" i="6"/>
  <c r="Q39" i="6" s="1"/>
  <c r="K39" i="6"/>
  <c r="L39" i="6" s="1"/>
  <c r="O39" i="6" s="1"/>
  <c r="S39" i="6" s="1"/>
  <c r="N36" i="6"/>
  <c r="R36" i="6" s="1"/>
  <c r="N40" i="6"/>
  <c r="R40" i="6" s="1"/>
  <c r="H48" i="6"/>
  <c r="I40" i="6"/>
  <c r="G41" i="6"/>
  <c r="H37" i="6"/>
  <c r="J10" i="6"/>
  <c r="N10" i="6" s="1"/>
  <c r="M10" i="6"/>
  <c r="M23" i="6"/>
  <c r="K16" i="6"/>
  <c r="M16" i="6" s="1"/>
  <c r="L23" i="6"/>
  <c r="L24" i="6" s="1"/>
  <c r="L16" i="6"/>
  <c r="L10" i="6"/>
  <c r="L12" i="6"/>
  <c r="M21" i="6"/>
  <c r="I34" i="6"/>
  <c r="O34" i="6" s="1"/>
  <c r="S34" i="6" s="1"/>
  <c r="J38" i="6"/>
  <c r="M38" i="6" s="1"/>
  <c r="Q38" i="6" s="1"/>
  <c r="K31" i="6"/>
  <c r="L31" i="6" s="1"/>
  <c r="O31" i="6" s="1"/>
  <c r="S31" i="6" s="1"/>
  <c r="K32" i="6"/>
  <c r="L32" i="6" s="1"/>
  <c r="O32" i="6" s="1"/>
  <c r="S32" i="6" s="1"/>
  <c r="K33" i="6"/>
  <c r="L33" i="6" s="1"/>
  <c r="O33" i="6" s="1"/>
  <c r="S33" i="6" s="1"/>
  <c r="G42" i="6"/>
  <c r="M11" i="6"/>
  <c r="G44" i="6"/>
  <c r="M40" i="6"/>
  <c r="Q40" i="6" s="1"/>
  <c r="J45" i="7" l="1"/>
  <c r="M17" i="6"/>
  <c r="E59" i="6" s="1"/>
  <c r="K41" i="7"/>
  <c r="L41" i="7" s="1"/>
  <c r="J45" i="6"/>
  <c r="J49" i="6" s="1"/>
  <c r="K49" i="6" s="1"/>
  <c r="L49" i="6" s="1"/>
  <c r="L35" i="7"/>
  <c r="O35" i="7" s="1"/>
  <c r="S35" i="7" s="1"/>
  <c r="K47" i="7"/>
  <c r="L12" i="7"/>
  <c r="N12" i="7"/>
  <c r="M12" i="7"/>
  <c r="N24" i="7"/>
  <c r="A47" i="7"/>
  <c r="N31" i="6"/>
  <c r="R31" i="6" s="1"/>
  <c r="N35" i="7"/>
  <c r="R35" i="7" s="1"/>
  <c r="K16" i="7"/>
  <c r="L23" i="7"/>
  <c r="L24" i="7" s="1"/>
  <c r="D60" i="7" s="1"/>
  <c r="M23" i="7"/>
  <c r="M24" i="7" s="1"/>
  <c r="E60" i="7" s="1"/>
  <c r="F60" i="7" s="1"/>
  <c r="A36" i="7"/>
  <c r="G87" i="5"/>
  <c r="I87" i="5"/>
  <c r="O33" i="7"/>
  <c r="S33" i="7" s="1"/>
  <c r="N33" i="7"/>
  <c r="R33" i="7" s="1"/>
  <c r="N32" i="7"/>
  <c r="R32" i="7" s="1"/>
  <c r="M39" i="7"/>
  <c r="Q39" i="7" s="1"/>
  <c r="K39" i="7"/>
  <c r="L39" i="7" s="1"/>
  <c r="O39" i="7" s="1"/>
  <c r="S39" i="7" s="1"/>
  <c r="H42" i="7"/>
  <c r="M42" i="7"/>
  <c r="Q42" i="7" s="1"/>
  <c r="K42" i="7"/>
  <c r="L42" i="7" s="1"/>
  <c r="J46" i="7"/>
  <c r="L13" i="7"/>
  <c r="K14" i="7"/>
  <c r="N14" i="7" s="1"/>
  <c r="M13" i="7"/>
  <c r="K43" i="7"/>
  <c r="L43" i="7" s="1"/>
  <c r="L36" i="7"/>
  <c r="O36" i="7" s="1"/>
  <c r="S36" i="7" s="1"/>
  <c r="N36" i="7"/>
  <c r="R36" i="7" s="1"/>
  <c r="N40" i="7"/>
  <c r="R40" i="7" s="1"/>
  <c r="N38" i="7"/>
  <c r="R38" i="7" s="1"/>
  <c r="I38" i="7"/>
  <c r="O38" i="7" s="1"/>
  <c r="S38" i="7" s="1"/>
  <c r="N13" i="7"/>
  <c r="K45" i="7"/>
  <c r="L45" i="7" s="1"/>
  <c r="J49" i="7"/>
  <c r="K49" i="7" s="1"/>
  <c r="L49" i="7" s="1"/>
  <c r="I48" i="7"/>
  <c r="O40" i="7"/>
  <c r="S40" i="7" s="1"/>
  <c r="H45" i="7"/>
  <c r="M45" i="7"/>
  <c r="Q45" i="7" s="1"/>
  <c r="H44" i="7"/>
  <c r="M44" i="7"/>
  <c r="Q44" i="7" s="1"/>
  <c r="I37" i="7"/>
  <c r="O37" i="7" s="1"/>
  <c r="S37" i="7" s="1"/>
  <c r="N37" i="7"/>
  <c r="R37" i="7" s="1"/>
  <c r="I41" i="7"/>
  <c r="O41" i="7" s="1"/>
  <c r="S41" i="7" s="1"/>
  <c r="N41" i="7"/>
  <c r="R41" i="7" s="1"/>
  <c r="N31" i="7"/>
  <c r="R31" i="7" s="1"/>
  <c r="L31" i="7"/>
  <c r="O31" i="7" s="1"/>
  <c r="S31" i="7" s="1"/>
  <c r="I43" i="7"/>
  <c r="O32" i="7"/>
  <c r="S32" i="7" s="1"/>
  <c r="N33" i="6"/>
  <c r="R33" i="6" s="1"/>
  <c r="N32" i="6"/>
  <c r="R32" i="6" s="1"/>
  <c r="I48" i="6"/>
  <c r="O40" i="6"/>
  <c r="S40" i="6" s="1"/>
  <c r="G46" i="6"/>
  <c r="H42" i="6"/>
  <c r="M24" i="6"/>
  <c r="E60" i="6" s="1"/>
  <c r="F60" i="6" s="1"/>
  <c r="J47" i="6"/>
  <c r="K43" i="6"/>
  <c r="L43" i="6" s="1"/>
  <c r="M43" i="6"/>
  <c r="Q43" i="6" s="1"/>
  <c r="N37" i="6"/>
  <c r="R37" i="6" s="1"/>
  <c r="I37" i="6"/>
  <c r="O37" i="6" s="1"/>
  <c r="S37" i="6" s="1"/>
  <c r="D60" i="6"/>
  <c r="K45" i="6"/>
  <c r="L45" i="6" s="1"/>
  <c r="I43" i="6"/>
  <c r="N43" i="6"/>
  <c r="R43" i="6" s="1"/>
  <c r="L17" i="6"/>
  <c r="M41" i="6"/>
  <c r="Q41" i="6" s="1"/>
  <c r="H41" i="6"/>
  <c r="G45" i="6"/>
  <c r="N16" i="6"/>
  <c r="N17" i="6" s="1"/>
  <c r="F59" i="6" s="1"/>
  <c r="H44" i="6"/>
  <c r="M44" i="6"/>
  <c r="Q44" i="6" s="1"/>
  <c r="K38" i="6"/>
  <c r="J42" i="6"/>
  <c r="N39" i="6"/>
  <c r="R39" i="6" s="1"/>
  <c r="N43" i="7" l="1"/>
  <c r="R43" i="7" s="1"/>
  <c r="O43" i="6"/>
  <c r="S43" i="6" s="1"/>
  <c r="L25" i="7"/>
  <c r="M16" i="7"/>
  <c r="L16" i="7"/>
  <c r="N39" i="7"/>
  <c r="R39" i="7" s="1"/>
  <c r="N16" i="7"/>
  <c r="O43" i="7"/>
  <c r="S43" i="7" s="1"/>
  <c r="J87" i="5"/>
  <c r="G54" i="7"/>
  <c r="H49" i="7"/>
  <c r="M49" i="7"/>
  <c r="Q49" i="7" s="1"/>
  <c r="J51" i="7"/>
  <c r="M47" i="7"/>
  <c r="Q47" i="7" s="1"/>
  <c r="H46" i="7"/>
  <c r="M46" i="7"/>
  <c r="Q46" i="7" s="1"/>
  <c r="N45" i="7"/>
  <c r="R45" i="7" s="1"/>
  <c r="I45" i="7"/>
  <c r="O45" i="7" s="1"/>
  <c r="S45" i="7" s="1"/>
  <c r="K15" i="7"/>
  <c r="L15" i="7" s="1"/>
  <c r="L14" i="7"/>
  <c r="M14" i="7"/>
  <c r="I42" i="7"/>
  <c r="O42" i="7" s="1"/>
  <c r="S42" i="7" s="1"/>
  <c r="N42" i="7"/>
  <c r="R42" i="7" s="1"/>
  <c r="K46" i="7"/>
  <c r="L46" i="7" s="1"/>
  <c r="J50" i="7"/>
  <c r="I44" i="7"/>
  <c r="O44" i="7" s="1"/>
  <c r="S44" i="7" s="1"/>
  <c r="N44" i="7"/>
  <c r="R44" i="7" s="1"/>
  <c r="I41" i="6"/>
  <c r="O41" i="6" s="1"/>
  <c r="S41" i="6" s="1"/>
  <c r="N41" i="6"/>
  <c r="R41" i="6" s="1"/>
  <c r="I44" i="6"/>
  <c r="O44" i="6" s="1"/>
  <c r="S44" i="6" s="1"/>
  <c r="N44" i="6"/>
  <c r="R44" i="6" s="1"/>
  <c r="L25" i="6"/>
  <c r="J48" i="6"/>
  <c r="K47" i="6"/>
  <c r="J51" i="6"/>
  <c r="M47" i="6"/>
  <c r="Q47" i="6" s="1"/>
  <c r="I42" i="6"/>
  <c r="D59" i="6"/>
  <c r="L18" i="6"/>
  <c r="L38" i="6"/>
  <c r="O38" i="6" s="1"/>
  <c r="S38" i="6" s="1"/>
  <c r="N38" i="6"/>
  <c r="R38" i="6" s="1"/>
  <c r="H45" i="6"/>
  <c r="M45" i="6"/>
  <c r="Q45" i="6" s="1"/>
  <c r="G49" i="6"/>
  <c r="G54" i="6" s="1"/>
  <c r="H46" i="6"/>
  <c r="K42" i="6"/>
  <c r="L42" i="6" s="1"/>
  <c r="J46" i="6"/>
  <c r="M46" i="6" s="1"/>
  <c r="Q46" i="6" s="1"/>
  <c r="M42" i="6"/>
  <c r="Q42" i="6" s="1"/>
  <c r="L17" i="7" l="1"/>
  <c r="N15" i="7"/>
  <c r="N17" i="7" s="1"/>
  <c r="F59" i="7" s="1"/>
  <c r="M15" i="7"/>
  <c r="M17" i="7" s="1"/>
  <c r="E59" i="7" s="1"/>
  <c r="K51" i="7"/>
  <c r="M51" i="7"/>
  <c r="Q51" i="7" s="1"/>
  <c r="O47" i="7"/>
  <c r="S47" i="7" s="1"/>
  <c r="N47" i="7"/>
  <c r="R47" i="7" s="1"/>
  <c r="K48" i="7"/>
  <c r="M48" i="7"/>
  <c r="Q48" i="7" s="1"/>
  <c r="I46" i="7"/>
  <c r="O46" i="7" s="1"/>
  <c r="S46" i="7" s="1"/>
  <c r="N46" i="7"/>
  <c r="R46" i="7" s="1"/>
  <c r="I49" i="7"/>
  <c r="N49" i="7"/>
  <c r="R49" i="7" s="1"/>
  <c r="M50" i="7"/>
  <c r="Q50" i="7" s="1"/>
  <c r="K50" i="7"/>
  <c r="I46" i="6"/>
  <c r="K51" i="6"/>
  <c r="M51" i="6"/>
  <c r="Q51" i="6" s="1"/>
  <c r="M49" i="6"/>
  <c r="Q49" i="6" s="1"/>
  <c r="H49" i="6"/>
  <c r="L47" i="6"/>
  <c r="O47" i="6" s="1"/>
  <c r="S47" i="6" s="1"/>
  <c r="N47" i="6"/>
  <c r="R47" i="6" s="1"/>
  <c r="K46" i="6"/>
  <c r="L46" i="6" s="1"/>
  <c r="J50" i="6"/>
  <c r="K48" i="6"/>
  <c r="M48" i="6"/>
  <c r="Q48" i="6" s="1"/>
  <c r="N45" i="6"/>
  <c r="R45" i="6" s="1"/>
  <c r="I45" i="6"/>
  <c r="O45" i="6" s="1"/>
  <c r="S45" i="6" s="1"/>
  <c r="N42" i="6"/>
  <c r="R42" i="6" s="1"/>
  <c r="O42" i="6"/>
  <c r="S42" i="6" s="1"/>
  <c r="O49" i="7" l="1"/>
  <c r="S49" i="7" s="1"/>
  <c r="Q52" i="7"/>
  <c r="D61" i="7" s="1"/>
  <c r="L50" i="7"/>
  <c r="O50" i="7" s="1"/>
  <c r="S50" i="7" s="1"/>
  <c r="N50" i="7"/>
  <c r="R50" i="7" s="1"/>
  <c r="L51" i="7"/>
  <c r="O51" i="7" s="1"/>
  <c r="S51" i="7" s="1"/>
  <c r="N51" i="7"/>
  <c r="R51" i="7" s="1"/>
  <c r="O48" i="7"/>
  <c r="S48" i="7" s="1"/>
  <c r="N48" i="7"/>
  <c r="R48" i="7" s="1"/>
  <c r="L18" i="7"/>
  <c r="D59" i="7"/>
  <c r="L51" i="6"/>
  <c r="O51" i="6" s="1"/>
  <c r="S51" i="6" s="1"/>
  <c r="N51" i="6"/>
  <c r="R51" i="6" s="1"/>
  <c r="L48" i="6"/>
  <c r="O48" i="6" s="1"/>
  <c r="S48" i="6" s="1"/>
  <c r="N48" i="6"/>
  <c r="R48" i="6" s="1"/>
  <c r="O46" i="6"/>
  <c r="S46" i="6" s="1"/>
  <c r="M50" i="6"/>
  <c r="Q50" i="6" s="1"/>
  <c r="Q52" i="6" s="1"/>
  <c r="K50" i="6"/>
  <c r="I49" i="6"/>
  <c r="O49" i="6" s="1"/>
  <c r="S49" i="6" s="1"/>
  <c r="N49" i="6"/>
  <c r="R49" i="6" s="1"/>
  <c r="N46" i="6"/>
  <c r="R46" i="6" s="1"/>
  <c r="S52" i="7" l="1"/>
  <c r="F61" i="7" s="1"/>
  <c r="R52" i="7"/>
  <c r="D61" i="6"/>
  <c r="L50" i="6"/>
  <c r="O50" i="6" s="1"/>
  <c r="S50" i="6" s="1"/>
  <c r="N50" i="6"/>
  <c r="R50" i="6" s="1"/>
  <c r="R52" i="6" s="1"/>
  <c r="S52" i="6"/>
  <c r="E61" i="7" l="1"/>
  <c r="Q53" i="7"/>
  <c r="E61" i="6"/>
  <c r="Q53" i="6"/>
  <c r="Q54" i="6" s="1"/>
  <c r="D67" i="6" s="1"/>
  <c r="D72" i="6" s="1"/>
  <c r="F61" i="6"/>
  <c r="S54" i="6" l="1"/>
  <c r="F67" i="6" s="1"/>
  <c r="F72" i="6" s="1"/>
  <c r="Q54" i="7"/>
  <c r="D67" i="7" s="1"/>
  <c r="S54" i="7"/>
  <c r="F67" i="7" s="1"/>
  <c r="R54" i="7"/>
  <c r="E67" i="7" s="1"/>
  <c r="E72" i="7" s="1"/>
  <c r="R54" i="6"/>
  <c r="E67" i="6" s="1"/>
  <c r="E72" i="6" s="1"/>
  <c r="F72" i="7" l="1"/>
  <c r="D72" i="7"/>
  <c r="F62" i="5" l="1"/>
  <c r="D62" i="5"/>
  <c r="J34" i="5" l="1"/>
  <c r="J33" i="5"/>
  <c r="J32" i="5"/>
  <c r="J40" i="5" s="1"/>
  <c r="J31" i="5"/>
  <c r="J39" i="5" s="1"/>
  <c r="I29" i="5"/>
  <c r="K35" i="5" s="1"/>
  <c r="L35" i="5" s="1"/>
  <c r="F42" i="5" l="1"/>
  <c r="F34" i="5"/>
  <c r="F46" i="5"/>
  <c r="P32" i="5" l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P46" i="5" s="1"/>
  <c r="P47" i="5" s="1"/>
  <c r="M34" i="5"/>
  <c r="Q34" i="5" s="1"/>
  <c r="K34" i="5"/>
  <c r="L34" i="5" s="1"/>
  <c r="J38" i="5"/>
  <c r="J42" i="5" s="1"/>
  <c r="J46" i="5" s="1"/>
  <c r="J50" i="5" s="1"/>
  <c r="M33" i="5"/>
  <c r="Q33" i="5" s="1"/>
  <c r="M32" i="5"/>
  <c r="Q32" i="5" s="1"/>
  <c r="P49" i="5" l="1"/>
  <c r="P50" i="5" s="1"/>
  <c r="P51" i="5" s="1"/>
  <c r="P48" i="5"/>
  <c r="K50" i="5"/>
  <c r="M50" i="5"/>
  <c r="M31" i="5"/>
  <c r="Q31" i="5" s="1"/>
  <c r="K33" i="5"/>
  <c r="L33" i="5" s="1"/>
  <c r="J37" i="5"/>
  <c r="J41" i="5" s="1"/>
  <c r="J45" i="5" s="1"/>
  <c r="K46" i="5"/>
  <c r="L46" i="5" s="1"/>
  <c r="K42" i="5"/>
  <c r="L42" i="5" s="1"/>
  <c r="K31" i="5"/>
  <c r="L31" i="5" s="1"/>
  <c r="K32" i="5"/>
  <c r="L32" i="5" s="1"/>
  <c r="Q50" i="5"/>
  <c r="K38" i="5"/>
  <c r="L38" i="5" s="1"/>
  <c r="K45" i="5" l="1"/>
  <c r="L45" i="5" s="1"/>
  <c r="J49" i="5"/>
  <c r="L50" i="5"/>
  <c r="K41" i="5"/>
  <c r="L41" i="5" s="1"/>
  <c r="K37" i="5"/>
  <c r="L37" i="5" s="1"/>
  <c r="J43" i="5"/>
  <c r="J47" i="5" s="1"/>
  <c r="J48" i="5" s="1"/>
  <c r="K39" i="5"/>
  <c r="L39" i="5" s="1"/>
  <c r="K36" i="5"/>
  <c r="L36" i="5" s="1"/>
  <c r="K48" i="5" l="1"/>
  <c r="L48" i="5" s="1"/>
  <c r="M48" i="5"/>
  <c r="Q48" i="5" s="1"/>
  <c r="M47" i="5"/>
  <c r="J51" i="5"/>
  <c r="K51" i="5" s="1"/>
  <c r="L51" i="5" s="1"/>
  <c r="K47" i="5"/>
  <c r="J44" i="5"/>
  <c r="K40" i="5"/>
  <c r="L40" i="5" s="1"/>
  <c r="K43" i="5"/>
  <c r="L43" i="5" s="1"/>
  <c r="K44" i="5" l="1"/>
  <c r="L44" i="5" s="1"/>
  <c r="K49" i="5"/>
  <c r="L49" i="5" s="1"/>
  <c r="L47" i="5"/>
  <c r="H34" i="5"/>
  <c r="H33" i="5"/>
  <c r="H32" i="5"/>
  <c r="N32" i="5" s="1"/>
  <c r="R32" i="5" s="1"/>
  <c r="H31" i="5"/>
  <c r="H50" i="5"/>
  <c r="G37" i="5"/>
  <c r="H37" i="5" s="1"/>
  <c r="G38" i="5"/>
  <c r="M38" i="5" s="1"/>
  <c r="Q38" i="5" s="1"/>
  <c r="A32" i="5"/>
  <c r="F16" i="5"/>
  <c r="G16" i="5"/>
  <c r="E16" i="5"/>
  <c r="F9" i="5"/>
  <c r="G9" i="5"/>
  <c r="F10" i="5"/>
  <c r="G10" i="5"/>
  <c r="F11" i="5"/>
  <c r="G11" i="5"/>
  <c r="F12" i="5"/>
  <c r="H35" i="5" s="1"/>
  <c r="G12" i="5"/>
  <c r="I35" i="5" s="1"/>
  <c r="F13" i="5"/>
  <c r="G13" i="5"/>
  <c r="F14" i="5"/>
  <c r="G14" i="5"/>
  <c r="F15" i="5"/>
  <c r="G15" i="5"/>
  <c r="E10" i="5"/>
  <c r="E11" i="5"/>
  <c r="E12" i="5"/>
  <c r="E13" i="5"/>
  <c r="E14" i="5"/>
  <c r="E15" i="5"/>
  <c r="E9" i="5"/>
  <c r="L9" i="5" s="1"/>
  <c r="E21" i="5"/>
  <c r="F21" i="5"/>
  <c r="E22" i="5"/>
  <c r="F22" i="5"/>
  <c r="E23" i="5"/>
  <c r="F23" i="5"/>
  <c r="G22" i="5"/>
  <c r="G23" i="5"/>
  <c r="G21" i="5"/>
  <c r="L21" i="5"/>
  <c r="I22" i="5"/>
  <c r="J22" i="5" s="1"/>
  <c r="I23" i="5"/>
  <c r="I21" i="5"/>
  <c r="J21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0" i="5"/>
  <c r="J10" i="5" s="1"/>
  <c r="K10" i="5"/>
  <c r="K11" i="5" s="1"/>
  <c r="I9" i="5"/>
  <c r="G35" i="5" l="1"/>
  <c r="M35" i="5" s="1"/>
  <c r="Q35" i="5" s="1"/>
  <c r="N50" i="5"/>
  <c r="R50" i="5" s="1"/>
  <c r="G51" i="5"/>
  <c r="M51" i="5" s="1"/>
  <c r="Q51" i="5" s="1"/>
  <c r="F6" i="5"/>
  <c r="I51" i="5"/>
  <c r="O51" i="5" s="1"/>
  <c r="S51" i="5" s="1"/>
  <c r="H51" i="5"/>
  <c r="H38" i="5"/>
  <c r="I38" i="5" s="1"/>
  <c r="O38" i="5" s="1"/>
  <c r="S38" i="5" s="1"/>
  <c r="G42" i="5"/>
  <c r="M42" i="5" s="1"/>
  <c r="Q42" i="5" s="1"/>
  <c r="I50" i="5"/>
  <c r="Q47" i="5"/>
  <c r="N51" i="5"/>
  <c r="R51" i="5" s="1"/>
  <c r="I32" i="5"/>
  <c r="O32" i="5" s="1"/>
  <c r="S32" i="5" s="1"/>
  <c r="N36" i="5"/>
  <c r="R36" i="5" s="1"/>
  <c r="O36" i="5"/>
  <c r="S36" i="5" s="1"/>
  <c r="I34" i="5"/>
  <c r="O34" i="5" s="1"/>
  <c r="S34" i="5" s="1"/>
  <c r="N34" i="5"/>
  <c r="R34" i="5" s="1"/>
  <c r="I31" i="5"/>
  <c r="O31" i="5" s="1"/>
  <c r="S31" i="5" s="1"/>
  <c r="N31" i="5"/>
  <c r="R31" i="5" s="1"/>
  <c r="I37" i="5"/>
  <c r="O37" i="5" s="1"/>
  <c r="S37" i="5" s="1"/>
  <c r="N37" i="5"/>
  <c r="R37" i="5" s="1"/>
  <c r="G44" i="5"/>
  <c r="M36" i="5"/>
  <c r="Q36" i="5" s="1"/>
  <c r="G41" i="5"/>
  <c r="M37" i="5"/>
  <c r="Q37" i="5" s="1"/>
  <c r="I33" i="5"/>
  <c r="O33" i="5" s="1"/>
  <c r="S33" i="5" s="1"/>
  <c r="N33" i="5"/>
  <c r="R33" i="5" s="1"/>
  <c r="L11" i="5"/>
  <c r="K12" i="5"/>
  <c r="K13" i="5" s="1"/>
  <c r="L13" i="5" s="1"/>
  <c r="M21" i="5"/>
  <c r="M9" i="5"/>
  <c r="J23" i="5"/>
  <c r="N10" i="5"/>
  <c r="J9" i="5"/>
  <c r="N9" i="5" s="1"/>
  <c r="M11" i="5"/>
  <c r="N11" i="5"/>
  <c r="L10" i="5"/>
  <c r="M10" i="5"/>
  <c r="O50" i="5" l="1"/>
  <c r="S50" i="5" s="1"/>
  <c r="D80" i="5"/>
  <c r="H39" i="5"/>
  <c r="G43" i="5"/>
  <c r="N38" i="5"/>
  <c r="R38" i="5" s="1"/>
  <c r="H42" i="5"/>
  <c r="I42" i="5" s="1"/>
  <c r="O42" i="5" s="1"/>
  <c r="S42" i="5" s="1"/>
  <c r="G46" i="5"/>
  <c r="M46" i="5" s="1"/>
  <c r="Q46" i="5" s="1"/>
  <c r="M39" i="5"/>
  <c r="Q39" i="5" s="1"/>
  <c r="M13" i="5"/>
  <c r="K14" i="5"/>
  <c r="L14" i="5" s="1"/>
  <c r="L12" i="5"/>
  <c r="M12" i="5"/>
  <c r="O35" i="5"/>
  <c r="S35" i="5" s="1"/>
  <c r="N35" i="5"/>
  <c r="R35" i="5" s="1"/>
  <c r="G45" i="5"/>
  <c r="G49" i="5" s="1"/>
  <c r="D88" i="5" s="1"/>
  <c r="M41" i="5"/>
  <c r="Q41" i="5" s="1"/>
  <c r="H41" i="5"/>
  <c r="M40" i="5"/>
  <c r="Q40" i="5" s="1"/>
  <c r="H40" i="5"/>
  <c r="H48" i="5" s="1"/>
  <c r="N48" i="5" s="1"/>
  <c r="R48" i="5" s="1"/>
  <c r="N12" i="5"/>
  <c r="N13" i="5"/>
  <c r="I111" i="1"/>
  <c r="H111" i="1"/>
  <c r="J111" i="1" s="1"/>
  <c r="I39" i="5" l="1"/>
  <c r="H47" i="5"/>
  <c r="N47" i="5" s="1"/>
  <c r="R47" i="5" s="1"/>
  <c r="G88" i="5"/>
  <c r="I88" i="5"/>
  <c r="G54" i="5"/>
  <c r="E80" i="5"/>
  <c r="F80" i="5"/>
  <c r="M49" i="5"/>
  <c r="Q49" i="5" s="1"/>
  <c r="H49" i="5"/>
  <c r="N39" i="5"/>
  <c r="R39" i="5" s="1"/>
  <c r="M43" i="5"/>
  <c r="Q43" i="5" s="1"/>
  <c r="N42" i="5"/>
  <c r="R42" i="5" s="1"/>
  <c r="K15" i="5"/>
  <c r="M15" i="5" s="1"/>
  <c r="H46" i="5"/>
  <c r="I46" i="5" s="1"/>
  <c r="O46" i="5" s="1"/>
  <c r="S46" i="5" s="1"/>
  <c r="M14" i="5"/>
  <c r="H43" i="5"/>
  <c r="I43" i="5" s="1"/>
  <c r="O43" i="5" s="1"/>
  <c r="S43" i="5" s="1"/>
  <c r="N14" i="5"/>
  <c r="M44" i="5"/>
  <c r="Q44" i="5" s="1"/>
  <c r="H44" i="5"/>
  <c r="I41" i="5"/>
  <c r="O41" i="5" s="1"/>
  <c r="S41" i="5" s="1"/>
  <c r="N41" i="5"/>
  <c r="R41" i="5" s="1"/>
  <c r="I40" i="5"/>
  <c r="I48" i="5" s="1"/>
  <c r="O48" i="5" s="1"/>
  <c r="S48" i="5" s="1"/>
  <c r="N40" i="5"/>
  <c r="R40" i="5" s="1"/>
  <c r="M45" i="5"/>
  <c r="Q45" i="5" s="1"/>
  <c r="H45" i="5"/>
  <c r="M57" i="2"/>
  <c r="M58" i="2" s="1"/>
  <c r="L57" i="2"/>
  <c r="L58" i="2" s="1"/>
  <c r="K57" i="2"/>
  <c r="K58" i="2" s="1"/>
  <c r="D35" i="2"/>
  <c r="D36" i="2"/>
  <c r="D37" i="2"/>
  <c r="K37" i="2" s="1"/>
  <c r="D38" i="2"/>
  <c r="K38" i="2" s="1"/>
  <c r="F35" i="2"/>
  <c r="F36" i="2"/>
  <c r="M36" i="2" s="1"/>
  <c r="F37" i="2"/>
  <c r="M37" i="2" s="1"/>
  <c r="F38" i="2"/>
  <c r="M38" i="2" s="1"/>
  <c r="F34" i="2"/>
  <c r="M34" i="2" s="1"/>
  <c r="D34" i="2"/>
  <c r="K34" i="2" s="1"/>
  <c r="K52" i="2"/>
  <c r="L52" i="2"/>
  <c r="M52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L38" i="2"/>
  <c r="L37" i="2"/>
  <c r="L36" i="2"/>
  <c r="K36" i="2"/>
  <c r="M35" i="2"/>
  <c r="L35" i="2"/>
  <c r="K35" i="2"/>
  <c r="L34" i="2"/>
  <c r="M9" i="2"/>
  <c r="L9" i="2"/>
  <c r="K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I31" i="1"/>
  <c r="I33" i="1"/>
  <c r="I32" i="1"/>
  <c r="I28" i="1"/>
  <c r="I29" i="1"/>
  <c r="I30" i="1"/>
  <c r="I27" i="1"/>
  <c r="P102" i="1"/>
  <c r="M102" i="1"/>
  <c r="M20" i="2" l="1"/>
  <c r="L20" i="2"/>
  <c r="K59" i="2"/>
  <c r="K20" i="2"/>
  <c r="K21" i="2" s="1"/>
  <c r="O39" i="5"/>
  <c r="S39" i="5" s="1"/>
  <c r="I47" i="5"/>
  <c r="O47" i="5" s="1"/>
  <c r="S47" i="5" s="1"/>
  <c r="Q52" i="5"/>
  <c r="D61" i="5" s="1"/>
  <c r="J88" i="5"/>
  <c r="J90" i="5" s="1"/>
  <c r="G80" i="5"/>
  <c r="N49" i="5"/>
  <c r="R49" i="5" s="1"/>
  <c r="I49" i="5"/>
  <c r="O40" i="5"/>
  <c r="S40" i="5" s="1"/>
  <c r="N46" i="5"/>
  <c r="R46" i="5" s="1"/>
  <c r="N15" i="5"/>
  <c r="L15" i="5"/>
  <c r="N43" i="5"/>
  <c r="R43" i="5" s="1"/>
  <c r="I45" i="5"/>
  <c r="O45" i="5" s="1"/>
  <c r="S45" i="5" s="1"/>
  <c r="N45" i="5"/>
  <c r="R45" i="5" s="1"/>
  <c r="N44" i="5"/>
  <c r="R44" i="5" s="1"/>
  <c r="I44" i="5"/>
  <c r="O44" i="5" s="1"/>
  <c r="S44" i="5" s="1"/>
  <c r="K22" i="5"/>
  <c r="N24" i="5"/>
  <c r="M53" i="2"/>
  <c r="L53" i="2"/>
  <c r="K53" i="2"/>
  <c r="Q96" i="1"/>
  <c r="K54" i="2" l="1"/>
  <c r="R52" i="5"/>
  <c r="O49" i="5"/>
  <c r="S49" i="5" s="1"/>
  <c r="S52" i="5" s="1"/>
  <c r="E61" i="5"/>
  <c r="M22" i="5"/>
  <c r="L22" i="5"/>
  <c r="K23" i="5"/>
  <c r="F61" i="5" l="1"/>
  <c r="L23" i="5"/>
  <c r="L24" i="5" s="1"/>
  <c r="D60" i="5" s="1"/>
  <c r="M23" i="5"/>
  <c r="M24" i="5" s="1"/>
  <c r="E60" i="5" s="1"/>
  <c r="F60" i="5" s="1"/>
  <c r="K16" i="5"/>
  <c r="N54" i="1"/>
  <c r="M54" i="1"/>
  <c r="N52" i="1"/>
  <c r="M5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76" i="1"/>
  <c r="D77" i="1"/>
  <c r="D78" i="1"/>
  <c r="D79" i="1"/>
  <c r="D80" i="1"/>
  <c r="D81" i="1"/>
  <c r="D82" i="1"/>
  <c r="D83" i="1"/>
  <c r="D84" i="1"/>
  <c r="D85" i="1"/>
  <c r="D86" i="1"/>
  <c r="D87" i="1"/>
  <c r="C77" i="1"/>
  <c r="C78" i="1"/>
  <c r="C79" i="1"/>
  <c r="C80" i="1"/>
  <c r="C81" i="1"/>
  <c r="C82" i="1"/>
  <c r="C83" i="1"/>
  <c r="C84" i="1"/>
  <c r="C85" i="1"/>
  <c r="C86" i="1"/>
  <c r="C87" i="1"/>
  <c r="C76" i="1"/>
  <c r="E95" i="1"/>
  <c r="F95" i="1"/>
  <c r="E96" i="1"/>
  <c r="F96" i="1"/>
  <c r="E97" i="1"/>
  <c r="F97" i="1"/>
  <c r="E98" i="1"/>
  <c r="F98" i="1"/>
  <c r="G98" i="1" s="1"/>
  <c r="H98" i="1" s="1"/>
  <c r="F101" i="1"/>
  <c r="E101" i="1"/>
  <c r="F100" i="1"/>
  <c r="E100" i="1"/>
  <c r="F99" i="1"/>
  <c r="E99" i="1"/>
  <c r="F94" i="1"/>
  <c r="E94" i="1"/>
  <c r="F93" i="1"/>
  <c r="E93" i="1"/>
  <c r="E84" i="1"/>
  <c r="E85" i="1"/>
  <c r="E86" i="1"/>
  <c r="E87" i="1"/>
  <c r="E83" i="1"/>
  <c r="E81" i="1"/>
  <c r="E82" i="1"/>
  <c r="E78" i="1"/>
  <c r="E79" i="1"/>
  <c r="E80" i="1"/>
  <c r="E77" i="1"/>
  <c r="F84" i="1"/>
  <c r="F85" i="1"/>
  <c r="F86" i="1"/>
  <c r="F87" i="1"/>
  <c r="F83" i="1"/>
  <c r="F78" i="1"/>
  <c r="G78" i="1" s="1"/>
  <c r="F79" i="1"/>
  <c r="G79" i="1" s="1"/>
  <c r="H79" i="1" s="1"/>
  <c r="F80" i="1"/>
  <c r="G80" i="1" s="1"/>
  <c r="F81" i="1"/>
  <c r="G81" i="1" s="1"/>
  <c r="F82" i="1"/>
  <c r="G82" i="1" s="1"/>
  <c r="H82" i="1" s="1"/>
  <c r="F77" i="1"/>
  <c r="G87" i="1" l="1"/>
  <c r="H87" i="1" s="1"/>
  <c r="P87" i="1"/>
  <c r="M87" i="1"/>
  <c r="G84" i="1"/>
  <c r="H84" i="1" s="1"/>
  <c r="P84" i="1"/>
  <c r="M84" i="1"/>
  <c r="G93" i="1"/>
  <c r="H93" i="1" s="1"/>
  <c r="P93" i="1"/>
  <c r="M93" i="1"/>
  <c r="G85" i="1"/>
  <c r="H85" i="1" s="1"/>
  <c r="P85" i="1"/>
  <c r="M85" i="1"/>
  <c r="G94" i="1"/>
  <c r="H94" i="1" s="1"/>
  <c r="P94" i="1"/>
  <c r="M94" i="1"/>
  <c r="H104" i="1"/>
  <c r="G77" i="1"/>
  <c r="H77" i="1" s="1"/>
  <c r="G83" i="1"/>
  <c r="H83" i="1" s="1"/>
  <c r="P83" i="1"/>
  <c r="M83" i="1"/>
  <c r="G86" i="1"/>
  <c r="H86" i="1" s="1"/>
  <c r="M86" i="1"/>
  <c r="P86" i="1"/>
  <c r="L25" i="5"/>
  <c r="L16" i="5"/>
  <c r="L17" i="5" s="1"/>
  <c r="D59" i="5" s="1"/>
  <c r="N16" i="5"/>
  <c r="N17" i="5" s="1"/>
  <c r="F59" i="5" s="1"/>
  <c r="M16" i="5"/>
  <c r="M17" i="5" s="1"/>
  <c r="E59" i="5" s="1"/>
  <c r="G101" i="1"/>
  <c r="H101" i="1" s="1"/>
  <c r="P101" i="1"/>
  <c r="M101" i="1"/>
  <c r="P77" i="1"/>
  <c r="M77" i="1"/>
  <c r="P97" i="1"/>
  <c r="M97" i="1"/>
  <c r="M79" i="1"/>
  <c r="P79" i="1"/>
  <c r="P82" i="1"/>
  <c r="M82" i="1"/>
  <c r="H78" i="1"/>
  <c r="M78" i="1"/>
  <c r="P78" i="1"/>
  <c r="G99" i="1"/>
  <c r="H99" i="1" s="1"/>
  <c r="P99" i="1"/>
  <c r="M99" i="1"/>
  <c r="P98" i="1"/>
  <c r="M98" i="1"/>
  <c r="G96" i="1"/>
  <c r="H96" i="1" s="1"/>
  <c r="P96" i="1"/>
  <c r="M96" i="1"/>
  <c r="P80" i="1"/>
  <c r="M80" i="1"/>
  <c r="H81" i="1"/>
  <c r="P81" i="1"/>
  <c r="M81" i="1"/>
  <c r="H80" i="1"/>
  <c r="G100" i="1"/>
  <c r="H100" i="1" s="1"/>
  <c r="P100" i="1"/>
  <c r="M100" i="1"/>
  <c r="G95" i="1"/>
  <c r="H95" i="1" s="1"/>
  <c r="P95" i="1"/>
  <c r="M95" i="1"/>
  <c r="G97" i="1"/>
  <c r="H97" i="1" s="1"/>
  <c r="G37" i="1"/>
  <c r="G36" i="1"/>
  <c r="G35" i="1"/>
  <c r="G34" i="1"/>
  <c r="G33" i="1"/>
  <c r="G32" i="1"/>
  <c r="G51" i="1"/>
  <c r="G50" i="1"/>
  <c r="G49" i="1"/>
  <c r="G48" i="1"/>
  <c r="G47" i="1"/>
  <c r="G46" i="1"/>
  <c r="G45" i="1"/>
  <c r="G44" i="1"/>
  <c r="G43" i="1"/>
  <c r="G40" i="1"/>
  <c r="G31" i="1"/>
  <c r="G30" i="1"/>
  <c r="G29" i="1"/>
  <c r="G28" i="1"/>
  <c r="G27" i="1"/>
  <c r="G14" i="1"/>
  <c r="G15" i="1"/>
  <c r="G16" i="1"/>
  <c r="G17" i="1"/>
  <c r="G18" i="1"/>
  <c r="G19" i="1"/>
  <c r="G20" i="1"/>
  <c r="G21" i="1"/>
  <c r="G13" i="1"/>
  <c r="G10" i="1"/>
  <c r="G4" i="1"/>
  <c r="G5" i="1"/>
  <c r="G6" i="1"/>
  <c r="G7" i="1"/>
  <c r="G3" i="1"/>
  <c r="N104" i="1" l="1"/>
  <c r="M104" i="1"/>
  <c r="L18" i="5"/>
  <c r="M103" i="1"/>
  <c r="N103" i="1" s="1"/>
  <c r="G38" i="1"/>
  <c r="G8" i="1"/>
  <c r="G52" i="1"/>
  <c r="G22" i="1"/>
  <c r="G23" i="1" s="1"/>
  <c r="G69" i="1" l="1"/>
  <c r="F69" i="1"/>
  <c r="E69" i="1"/>
  <c r="G68" i="1"/>
  <c r="F68" i="1"/>
  <c r="E68" i="1"/>
  <c r="H38" i="1"/>
  <c r="I38" i="1" s="1"/>
  <c r="L36" i="1"/>
  <c r="L38" i="1"/>
  <c r="G54" i="1"/>
  <c r="F57" i="8" l="1"/>
  <c r="F57" i="7"/>
  <c r="F57" i="6"/>
  <c r="F57" i="5"/>
  <c r="F63" i="5" s="1"/>
  <c r="F65" i="5" s="1"/>
  <c r="O68" i="1"/>
  <c r="D58" i="8"/>
  <c r="D58" i="7"/>
  <c r="D58" i="6"/>
  <c r="D58" i="5"/>
  <c r="M69" i="1"/>
  <c r="E58" i="8"/>
  <c r="E58" i="6"/>
  <c r="E58" i="7"/>
  <c r="E58" i="5"/>
  <c r="N69" i="1"/>
  <c r="D57" i="8"/>
  <c r="D57" i="7"/>
  <c r="D57" i="6"/>
  <c r="D57" i="5"/>
  <c r="M68" i="1"/>
  <c r="M70" i="1" s="1"/>
  <c r="E57" i="8"/>
  <c r="E57" i="7"/>
  <c r="E63" i="7" s="1"/>
  <c r="E57" i="6"/>
  <c r="E57" i="5"/>
  <c r="E63" i="5" s="1"/>
  <c r="E65" i="5" s="1"/>
  <c r="N68" i="1"/>
  <c r="F58" i="8"/>
  <c r="F58" i="7"/>
  <c r="F58" i="6"/>
  <c r="F58" i="5"/>
  <c r="O69" i="1"/>
  <c r="G70" i="1"/>
  <c r="H68" i="1"/>
  <c r="E70" i="1"/>
  <c r="F70" i="1"/>
  <c r="I68" i="1" l="1"/>
  <c r="L68" i="1"/>
  <c r="X68" i="1"/>
  <c r="E63" i="6"/>
  <c r="F63" i="6"/>
  <c r="E65" i="7"/>
  <c r="E73" i="7"/>
  <c r="E74" i="7" s="1"/>
  <c r="E68" i="7"/>
  <c r="E69" i="7" s="1"/>
  <c r="D63" i="6"/>
  <c r="F63" i="7"/>
  <c r="D66" i="8"/>
  <c r="D63" i="8"/>
  <c r="N70" i="1"/>
  <c r="E63" i="8"/>
  <c r="E66" i="8"/>
  <c r="D63" i="7"/>
  <c r="O70" i="1"/>
  <c r="F63" i="8"/>
  <c r="F66" i="8"/>
  <c r="H70" i="1"/>
  <c r="H69" i="1"/>
  <c r="L70" i="1" l="1"/>
  <c r="H74" i="1"/>
  <c r="D65" i="7"/>
  <c r="D68" i="7"/>
  <c r="D69" i="7" s="1"/>
  <c r="D73" i="7"/>
  <c r="D74" i="7" s="1"/>
  <c r="D65" i="8"/>
  <c r="D90" i="8"/>
  <c r="D91" i="8" s="1"/>
  <c r="F90" i="8"/>
  <c r="F91" i="8" s="1"/>
  <c r="F65" i="8"/>
  <c r="E65" i="6"/>
  <c r="E73" i="6"/>
  <c r="E74" i="6" s="1"/>
  <c r="E68" i="6"/>
  <c r="E69" i="6" s="1"/>
  <c r="E65" i="8"/>
  <c r="E90" i="8"/>
  <c r="E91" i="8" s="1"/>
  <c r="F65" i="7"/>
  <c r="F68" i="7"/>
  <c r="F69" i="7" s="1"/>
  <c r="F73" i="7"/>
  <c r="F74" i="7" s="1"/>
  <c r="I69" i="1"/>
  <c r="X69" i="1"/>
  <c r="L69" i="1"/>
  <c r="D65" i="6"/>
  <c r="D68" i="6"/>
  <c r="D69" i="6" s="1"/>
  <c r="D73" i="6"/>
  <c r="D74" i="6" s="1"/>
  <c r="F68" i="6"/>
  <c r="F69" i="6" s="1"/>
  <c r="F65" i="6"/>
  <c r="F73" i="6"/>
  <c r="F74" i="6" s="1"/>
  <c r="I70" i="1"/>
  <c r="H71" i="1"/>
  <c r="I71" i="1" l="1"/>
  <c r="I72" i="1" s="1"/>
  <c r="H72" i="1"/>
  <c r="Q53" i="5"/>
  <c r="D63" i="5"/>
  <c r="D65" i="5" l="1"/>
  <c r="Q54" i="5"/>
  <c r="D67" i="5" s="1"/>
  <c r="S54" i="5"/>
  <c r="F67" i="5" s="1"/>
  <c r="R54" i="5"/>
  <c r="E67" i="5" s="1"/>
  <c r="D72" i="5" l="1"/>
  <c r="D73" i="5" s="1"/>
  <c r="D74" i="5" s="1"/>
  <c r="E68" i="5"/>
  <c r="E69" i="5" s="1"/>
  <c r="E72" i="5"/>
  <c r="E73" i="5" s="1"/>
  <c r="E74" i="5" s="1"/>
  <c r="F68" i="5"/>
  <c r="F69" i="5" s="1"/>
  <c r="F72" i="5"/>
  <c r="F73" i="5" s="1"/>
  <c r="F74" i="5" s="1"/>
  <c r="D68" i="5"/>
  <c r="D69" i="5" s="1"/>
</calcChain>
</file>

<file path=xl/comments1.xml><?xml version="1.0" encoding="utf-8"?>
<comments xmlns="http://schemas.openxmlformats.org/spreadsheetml/2006/main">
  <authors>
    <author>Użytkownik systemu Windows</author>
  </authors>
  <commentLis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koszt miesieczny amortyzacji pojemnika 120/60 + koszt utrzymania saniternego i porządkowego 5 zł/szt/rok /12 mcy</t>
        </r>
      </text>
    </comment>
  </commentList>
</comments>
</file>

<file path=xl/comments2.xml><?xml version="1.0" encoding="utf-8"?>
<comments xmlns="http://schemas.openxmlformats.org/spreadsheetml/2006/main">
  <authors>
    <author>Użytkownik systemu Windows</author>
  </authors>
  <commentLis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koszt miesieczny amortyzacji pojemnika 120/60 + koszt utrzymania saniternego i porządkowego 5 zł/szt/rok /12 mcy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utrzymanie techniczne bez mycia</t>
        </r>
      </text>
    </comment>
  </commentList>
</comments>
</file>

<file path=xl/comments3.xml><?xml version="1.0" encoding="utf-8"?>
<comments xmlns="http://schemas.openxmlformats.org/spreadsheetml/2006/main">
  <authors>
    <author>Użytkownik systemu Windows</author>
  </authors>
  <commentLis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koszt miesieczny amortyzacji pojemnika 120/60 + koszt utrzymania saniternego i porządkowego 5 zł/szt/rok /12 mcy</t>
        </r>
      </text>
    </comment>
  </commentList>
</comments>
</file>

<file path=xl/comments4.xml><?xml version="1.0" encoding="utf-8"?>
<comments xmlns="http://schemas.openxmlformats.org/spreadsheetml/2006/main">
  <authors>
    <author>Użytkownik systemu Windows</author>
  </authors>
  <commentList>
    <comment ref="J31" authorId="0" shapeId="0">
      <text>
        <r>
          <rPr>
            <b/>
            <sz val="9"/>
            <color indexed="81"/>
            <rFont val="Tahoma"/>
            <family val="2"/>
            <charset val="238"/>
          </rPr>
          <t>Użytkownik systemu Windows:</t>
        </r>
        <r>
          <rPr>
            <sz val="9"/>
            <color indexed="81"/>
            <rFont val="Tahoma"/>
            <family val="2"/>
            <charset val="238"/>
          </rPr>
          <t xml:space="preserve">
koszt miesieczny amortyzacji pojemnika 120/60 + koszt utrzymania saniternego i porządkowego 5 zł/szt/rok /12 mcy</t>
        </r>
      </text>
    </comment>
  </commentList>
</comments>
</file>

<file path=xl/sharedStrings.xml><?xml version="1.0" encoding="utf-8"?>
<sst xmlns="http://schemas.openxmlformats.org/spreadsheetml/2006/main" count="1588" uniqueCount="536">
  <si>
    <t xml:space="preserve">zmieszane </t>
  </si>
  <si>
    <t>BIO</t>
  </si>
  <si>
    <t>opakowania z papieru</t>
  </si>
  <si>
    <t xml:space="preserve">zmieszane opakowaniowe </t>
  </si>
  <si>
    <t>szkło</t>
  </si>
  <si>
    <t xml:space="preserve">PSZOK- prowadzenie </t>
  </si>
  <si>
    <t>PSZOK przetwarzanie</t>
  </si>
  <si>
    <t>17 09 04</t>
  </si>
  <si>
    <t>20 03 07</t>
  </si>
  <si>
    <t>20 01 35</t>
  </si>
  <si>
    <t>20 01 32</t>
  </si>
  <si>
    <t>16 01 03</t>
  </si>
  <si>
    <t>15 01 10*</t>
  </si>
  <si>
    <t>20 02 01</t>
  </si>
  <si>
    <t>21 01 23*</t>
  </si>
  <si>
    <t>cena netto</t>
  </si>
  <si>
    <t>20 01 36</t>
  </si>
  <si>
    <t xml:space="preserve">stawka jednostkowa 2019 </t>
  </si>
  <si>
    <t>masa 2019</t>
  </si>
  <si>
    <t>masa- prognoza 2020</t>
  </si>
  <si>
    <t>kurs Euro od 1 stycznia 2020</t>
  </si>
  <si>
    <t xml:space="preserve">próg </t>
  </si>
  <si>
    <t>a) 214 000 euro – dla dostaw lub usług, b) 5 350 000 euro – dla robót budowlanych;</t>
  </si>
  <si>
    <t>postępowanie nadprogowe z publikacją w DZUWE</t>
  </si>
  <si>
    <t>Razem przetwarzanie i PSZOK</t>
  </si>
  <si>
    <t>Euro</t>
  </si>
  <si>
    <t xml:space="preserve">20 03 01 </t>
  </si>
  <si>
    <t xml:space="preserve">przetwarzanie odpadów odebranych z nieruchomości zamieszkałych </t>
  </si>
  <si>
    <t>BIO (odpady zielone i kuchenne)</t>
  </si>
  <si>
    <t>20 02 01  i 20 01 08</t>
  </si>
  <si>
    <t>niesegregowane (zmieszane) odpady komunalne</t>
  </si>
  <si>
    <t>15 01 06</t>
  </si>
  <si>
    <t>zmieszane odpady opakowaniowe (tworzywa sztuczne, metale, opakowania wielomateriałowe)</t>
  </si>
  <si>
    <t>15 01 01 i 20 01 01</t>
  </si>
  <si>
    <t>15 01 07 i 20 01 02</t>
  </si>
  <si>
    <t>papier i tektura</t>
  </si>
  <si>
    <t xml:space="preserve">odpady wielkogabarytowe (wystawki) </t>
  </si>
  <si>
    <t xml:space="preserve">odpady zużytego sprzętu elektrycznego i elektronicznego (wystawki) </t>
  </si>
  <si>
    <t>zuzyte opony (wystawki)</t>
  </si>
  <si>
    <t>20 01 35* i 20 01 36 i 20 01 23*</t>
  </si>
  <si>
    <t>20 01 33* i 20 01 34</t>
  </si>
  <si>
    <t>20 01 31* i 20 01 32</t>
  </si>
  <si>
    <t>20 01 13* - 20 01 19*</t>
  </si>
  <si>
    <t>20 01 35*</t>
  </si>
  <si>
    <t>kod/kody</t>
  </si>
  <si>
    <t>zuzyte urządzenia elektryczne i elektroniczne inne niż wymienione w 20 01 21 i 20 01 23 zawierające niebezpieczne składniki (1)</t>
  </si>
  <si>
    <t>zużyte urządzenia elektryczne i i elektroniczne inne niż wymienione w 20 01 21, 20 01 23 i 20 01 35</t>
  </si>
  <si>
    <t>zużyte opony</t>
  </si>
  <si>
    <t>Opakowania zawierające pozostałości substancji niebezpiecznych lub nimi zanieczyszczone (np. środkami ochrony roślin I i II klasy toksyczności - bardzo toksyczne i toksyczne</t>
  </si>
  <si>
    <t xml:space="preserve"> Zmieszane odpady z budowy, remontów i demontażu inne niż wymienione w 17 09 01, 17 09 02 i 17 09 03</t>
  </si>
  <si>
    <t>Odpady wielkogabarytowe</t>
  </si>
  <si>
    <t xml:space="preserve"> Leki inne niż wymienione w 20 01 31</t>
  </si>
  <si>
    <t xml:space="preserve"> Urządzenia zawierające freony</t>
  </si>
  <si>
    <t>Odpady ulegające biodegradacji</t>
  </si>
  <si>
    <t xml:space="preserve">część 1 zagospodarowanie odpadów odbieranych z nieruchomości </t>
  </si>
  <si>
    <t xml:space="preserve">część 1 i 2 </t>
  </si>
  <si>
    <t xml:space="preserve">PSZOK zagospodarowanie </t>
  </si>
  <si>
    <t xml:space="preserve">Zagospodarowanie odpadów odebranych z nieruchomości zamieszkałych </t>
  </si>
  <si>
    <t xml:space="preserve">Prognoza masy odpadów do zagospodarowania </t>
  </si>
  <si>
    <t xml:space="preserve">poziomy recyklingu </t>
  </si>
  <si>
    <t>unieszk</t>
  </si>
  <si>
    <t xml:space="preserve">poziom recyklingu bez budowlanki </t>
  </si>
  <si>
    <t xml:space="preserve">poziom recyklingu/odzysku budowlanka </t>
  </si>
  <si>
    <t xml:space="preserve">wymaganie wg umowy </t>
  </si>
  <si>
    <t xml:space="preserve">szacowane masy </t>
  </si>
  <si>
    <t xml:space="preserve">odchylenie o 1% </t>
  </si>
  <si>
    <t xml:space="preserve">stawka jednostkowa 2020 </t>
  </si>
  <si>
    <t>stawka jednostkowa 2020</t>
  </si>
  <si>
    <t>ZNWU</t>
  </si>
  <si>
    <t>wadium</t>
  </si>
  <si>
    <t xml:space="preserve">zużyte baterie i akumulatory (zbiórka objazdowa) </t>
  </si>
  <si>
    <t xml:space="preserve">chemikalia (zbiórka objazdowa) </t>
  </si>
  <si>
    <t xml:space="preserve">przeterminowane leki (zbiórka objazdowa) </t>
  </si>
  <si>
    <t xml:space="preserve">odpady surowcowe </t>
  </si>
  <si>
    <t xml:space="preserve">część 2 organizacja prowadzenie PSZOK i zagospodarowanie odpadów z PSZOK </t>
  </si>
  <si>
    <t>2020-3 miesiące</t>
  </si>
  <si>
    <t xml:space="preserve">2021-12 miesięcy </t>
  </si>
  <si>
    <t>suma -okres umowy PLN</t>
  </si>
  <si>
    <t>Kurs Euro 4,2693</t>
  </si>
  <si>
    <t>zamówienia o których mowa w art. 67 ust 1 Pzp (50%)</t>
  </si>
  <si>
    <t xml:space="preserve">szacunkowa wartość zamówienia z zamówieniami z art. 67 ust 1 Pzp </t>
  </si>
  <si>
    <t xml:space="preserve">W poniższym wykazie cen wykonawca zaoferuje stawki jednostkowe oraz wyliczy cenę ofertową, biorąc pod uwagę wymagania określone w SIWZ, w tym w umowie. </t>
  </si>
  <si>
    <t xml:space="preserve">Prosi się o zwrócenie uwagi na sposób wypełniania formularza Wykazu Cen, zwłaszcza jednostki ofertowe, jak opisano poniżej w tabeli. </t>
  </si>
  <si>
    <t xml:space="preserve">Wykonawca będzie uprawniony do zmiany wynagrodzenia, tylko na warunkach określonych w umowie. </t>
  </si>
  <si>
    <r>
      <t xml:space="preserve">Wykonawca kalkulując stawkę i cenę weźmie pod uwagę, że jest odpowiedzialny za ich prawidłową wycenę uwzględniając koszty zagospodarowania  odpadów. </t>
    </r>
    <r>
      <rPr>
        <b/>
        <sz val="11"/>
        <color theme="1"/>
        <rFont val="Calibri"/>
        <family val="2"/>
        <charset val="238"/>
        <scheme val="minor"/>
      </rPr>
      <t>Wykonawca uwzględni, marżę zysku, opłaty, podatki i inne zobowiązania wynikające z umowy.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</si>
  <si>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WYKAZ CEN Część 1 - zagospodarowanie odpadów </t>
  </si>
  <si>
    <t>WYKAZ CEN Część 2 - PSZOK</t>
  </si>
  <si>
    <r>
      <t xml:space="preserve">Wykonawca kalkulując stawkę i cenę weźmie pod uwagę, że jest odpowiedzialny za ich prawidłową wycenę uwzględniając koszty urządzenia, prowqadzenia PSZOK oraz zagospodarowania  odpadów w nim zebranych. </t>
    </r>
    <r>
      <rPr>
        <b/>
        <sz val="11"/>
        <color theme="1"/>
        <rFont val="Calibri"/>
        <family val="2"/>
        <charset val="238"/>
        <scheme val="minor"/>
      </rPr>
      <t>Wykonawca uwzględni, marżę zysku, opłaty, podatki i inne zobowiązania wynikające z umowy.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</si>
  <si>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Zagospodarowanie odpadów odebranych z nieruchomości zamieszkałych</t>
  </si>
  <si>
    <t>Niesegregowane (zmieszane) odpady komunalne</t>
  </si>
  <si>
    <t>Zmieszane odpady opakowaniowe (tworzywa sztuczne, metale, opakowania wielomateriałowe)</t>
  </si>
  <si>
    <t>Papier i tektura</t>
  </si>
  <si>
    <t>Szkło</t>
  </si>
  <si>
    <t xml:space="preserve">Odpady wielkogabarytowe (wystawki) </t>
  </si>
  <si>
    <t xml:space="preserve">Odpady zużytego sprzętu elektrycznego i elektronicznego (wystawki) </t>
  </si>
  <si>
    <t>Zużyte baterie i akumulatory (wystawki)</t>
  </si>
  <si>
    <t>Chemikalia (wystawki)</t>
  </si>
  <si>
    <t>Przeterminowane leki (wystawki)</t>
  </si>
  <si>
    <t>Zużyte opony (wystawki)</t>
  </si>
  <si>
    <t>stawka jednostkowa rok 2020</t>
  </si>
  <si>
    <t>stawka jednostkowa rok 2021</t>
  </si>
  <si>
    <t>stawka jednostkowa rok 2022</t>
  </si>
  <si>
    <t>stawka podatku VAT</t>
  </si>
  <si>
    <t>cena ofertowa brutto -2020</t>
  </si>
  <si>
    <t>cena ofertowa brutto -2021</t>
  </si>
  <si>
    <t>cena ofertowa brutto -2022</t>
  </si>
  <si>
    <t xml:space="preserve">Wynagrodzenie w poszczególnych latach </t>
  </si>
  <si>
    <t xml:space="preserve">Wynagrodzenie w okresie umowy </t>
  </si>
  <si>
    <t>PSZOK zagospodarowanie</t>
  </si>
  <si>
    <t xml:space="preserve">15 01 01 , 20 01 01 </t>
  </si>
  <si>
    <t>Opakowania z papieru i tektury, papier i tektura</t>
  </si>
  <si>
    <t xml:space="preserve">15 01 02 , 20 01 39 </t>
  </si>
  <si>
    <t>Opakowania z tworzyw sztucznych, tworzywa sztuczne</t>
  </si>
  <si>
    <t>15 01 04, 20 01 40</t>
  </si>
  <si>
    <t>Opakowania z metali , metale</t>
  </si>
  <si>
    <t>15 01 05</t>
  </si>
  <si>
    <t xml:space="preserve">Opakowania wielomateriałowe </t>
  </si>
  <si>
    <t>15 01 07, 20 01 02</t>
  </si>
  <si>
    <t>Opakowania ze szkła, szkło,</t>
  </si>
  <si>
    <t>Zużyte opony</t>
  </si>
  <si>
    <t>17 09 04, 17 01 01 17 01 02 , 17 01 03, 17 01 07, 17 01 80</t>
  </si>
  <si>
    <t>Zmieszane odpady z budowy, remontów i demontażu inne niż wymienione w 17 09 01, 17 09 02 i 17 09 03</t>
  </si>
  <si>
    <t xml:space="preserve">20 01 13*, 20 01 14*, 20 01 15*, 20 01 17* </t>
  </si>
  <si>
    <t>Rozpuszczalniki Kwasy Alkalia Odczynniki</t>
  </si>
  <si>
    <t>Zużyte urządzenia elektryczne i elektroniczne inne niż wymienione w 20 01 21 i 20 01 23 zawierające niebezpieczne składniki (1)</t>
  </si>
  <si>
    <t>Zużyte urządzenia elektryczne i i elektroniczne inne niż wymienione w 20 01 21, 20 01 23 i 20 01 35</t>
  </si>
  <si>
    <t>20 01 32 20 01 31*</t>
  </si>
  <si>
    <t xml:space="preserve">Leki </t>
  </si>
  <si>
    <t>Urządzenia zawierające freony</t>
  </si>
  <si>
    <t>20 01 19 *</t>
  </si>
  <si>
    <t>Środki ochrony roślin, opakowania zawierające pozostałości substancji niebezpiecznych lub nimi zanieczyszczone (np. środkami ochrony roślin I i II klasy toksyczności - bardzo toksyczne i toksyczne</t>
  </si>
  <si>
    <t xml:space="preserve">20 01 21* </t>
  </si>
  <si>
    <t>Lampy fluorescencyjne i inne odpady zawierające rtęć</t>
  </si>
  <si>
    <t>20 01 34, 20 01 33*</t>
  </si>
  <si>
    <t xml:space="preserve">Baterie i akumulatory </t>
  </si>
  <si>
    <t>20 01 99 ex</t>
  </si>
  <si>
    <t>Popioły –zbierane selektywnie</t>
  </si>
  <si>
    <t xml:space="preserve">PSZOK urządzenie i prowadzeania </t>
  </si>
  <si>
    <t xml:space="preserve">stawka ryczałtowa miesieczna </t>
  </si>
  <si>
    <t>2020 
[Mg]</t>
  </si>
  <si>
    <t>2021 
[Mg]</t>
  </si>
  <si>
    <t>2022 
[Mg]</t>
  </si>
  <si>
    <t>2020 -liczba miesięcy</t>
  </si>
  <si>
    <t>2021 -liczba miesięcy</t>
  </si>
  <si>
    <t>2022 -liczba miesięcy</t>
  </si>
  <si>
    <t>l.p.</t>
  </si>
  <si>
    <t xml:space="preserve">2022- 6 miesięcy </t>
  </si>
  <si>
    <t xml:space="preserve">za okres umowy </t>
  </si>
  <si>
    <t>Odbieranie odpadów odebranych z nieruchomości zamieszkałych</t>
  </si>
  <si>
    <t>szacunek wartości zamówienia</t>
  </si>
  <si>
    <t>stawka ryczałtowa rok 2020 - 1 zbiórka obwoźna</t>
  </si>
  <si>
    <t>stawka ryczałtowa rok 2021 - 1 zbiórka obwoźna</t>
  </si>
  <si>
    <t xml:space="preserve">stawka ryczałtowa rok 2020 - brak zbiórki obwoźnej </t>
  </si>
  <si>
    <t xml:space="preserve">Odbieranie odpadów z nieruchomości zamieszkałych (zbiórka obwoźna) </t>
  </si>
  <si>
    <t xml:space="preserve">rodzaje odpadów </t>
  </si>
  <si>
    <t>2020 [szt]</t>
  </si>
  <si>
    <t>2021 [szt]</t>
  </si>
  <si>
    <t>2022 [szt]</t>
  </si>
  <si>
    <t>Wyposażenie nieruchomości w pojemniki i worki do zbiórki odpadów i ich utrzymanie w nwlezytym stanie technicznym i sanitarnym</t>
  </si>
  <si>
    <t xml:space="preserve">odpady komunalne zmieszane </t>
  </si>
  <si>
    <t xml:space="preserve">pojemniki 120 l </t>
  </si>
  <si>
    <t xml:space="preserve">pojemniki 240l </t>
  </si>
  <si>
    <t xml:space="preserve">pojemniki 1100 l </t>
  </si>
  <si>
    <t>papier</t>
  </si>
  <si>
    <t>Ilość deklaracji w zabudowie wielorodzinnej (wielolokalowa) - 150 deklaracji,</t>
  </si>
  <si>
    <t>Ilość deklaracji w zabudowie jednorodzinnej - 3829 deklaracji</t>
  </si>
  <si>
    <t>tworzywa i metale</t>
  </si>
  <si>
    <t xml:space="preserve">bioodpady </t>
  </si>
  <si>
    <t xml:space="preserve">szkło </t>
  </si>
  <si>
    <t xml:space="preserve">worki 120 l </t>
  </si>
  <si>
    <t>1 lokal mieszkalny</t>
  </si>
  <si>
    <t xml:space="preserve">2 lokale mieszkalne </t>
  </si>
  <si>
    <t xml:space="preserve">3-5 lokali mieszklanych </t>
  </si>
  <si>
    <t xml:space="preserve">&gt;5 lokali mieszkalnych </t>
  </si>
  <si>
    <t xml:space="preserve">zabudowa wielorodzinna 3-5 lokali mieszkalnych </t>
  </si>
  <si>
    <t>ok 30% zabudowy jednorodzinne i zadeklarowało kompostowanie</t>
  </si>
  <si>
    <t>1 worek na 10 kg szkła</t>
  </si>
  <si>
    <t xml:space="preserve">cena ofertowa 2020 - 3 miesiące </t>
  </si>
  <si>
    <t>cena ofertowa 2021 -12 miesięcy</t>
  </si>
  <si>
    <t>cena ofertowa 2022 -6 miesięcy</t>
  </si>
  <si>
    <t xml:space="preserve">zł/szt miesiąc pojemniki  w tym utrzymanie w stanie technicznym i sanitarnym ; zł/szt -worki 
2020 </t>
  </si>
  <si>
    <t>zł/szt miesiąc pojemniki  w tym utrzymanie w stanie technicznym i sanitarnym ; zł/szt -worki 
2021</t>
  </si>
  <si>
    <t>zł/szt miesiąc pojemniki  w tym utrzymanie w stanie technicznym i sanitarnym ; zł/szt -worki 
2022</t>
  </si>
  <si>
    <t xml:space="preserve">przetwarzanie - z nieruchomości </t>
  </si>
  <si>
    <t xml:space="preserve">zbieranie i przetwarzanie w PSZOK </t>
  </si>
  <si>
    <t>zbiórka obwoźna niebezpieczne</t>
  </si>
  <si>
    <t xml:space="preserve">administracja + edukacja </t>
  </si>
  <si>
    <t xml:space="preserve">suma kosztów </t>
  </si>
  <si>
    <t xml:space="preserve">liczba mieszkańców - płatników </t>
  </si>
  <si>
    <t xml:space="preserve">Wyliczenie stawki wg szacunków wartości zamówienia (uwaga wartosci brutto) </t>
  </si>
  <si>
    <t>stawka zł/os/mc</t>
  </si>
  <si>
    <t xml:space="preserve">zabudowa jednorodzinna i wielorodzinna </t>
  </si>
  <si>
    <t xml:space="preserve">w uchwale o szczegółowych zasadach są worki na nadwyżki poza pojemnikiem </t>
  </si>
  <si>
    <t xml:space="preserve">Worki na: papier, szkło, tworzywa, bioodpady - na nadwyżki które nie mieszczą się w pojemnikach  </t>
  </si>
  <si>
    <t xml:space="preserve">odbieranie odpadów z nieruchomości </t>
  </si>
  <si>
    <t xml:space="preserve">uwaga w roku 2022 nie będzie zbiórki obwoźnej </t>
  </si>
  <si>
    <t xml:space="preserve">to zupelnie dobra stawka przy obecnych warunkach rynkowych </t>
  </si>
  <si>
    <t>wg poprzedniego siwz</t>
  </si>
  <si>
    <t>30% masy zbieranych odpadów to nadwyżki , 5 kg na worek</t>
  </si>
  <si>
    <t xml:space="preserve">1-2 lokale mieszkalne </t>
  </si>
  <si>
    <t>inflacja</t>
  </si>
  <si>
    <t xml:space="preserve">inflacja </t>
  </si>
  <si>
    <t>bez</t>
  </si>
  <si>
    <t>netto</t>
  </si>
  <si>
    <t xml:space="preserve">pojemniki i worki - 21 mcy </t>
  </si>
  <si>
    <t>zakup pojemników po okresie umowy - rozliczone w czasie umowy - 39 miesięcy- 8% VAT</t>
  </si>
  <si>
    <r>
      <t xml:space="preserve">zakup pojemników po okresie umowy - rozliczone w czasie umowy - 39 miesięcy-23% VAT (w opcji że może my ale nie musimy przejmowac pojemników - wówczas to będzie dostawa </t>
    </r>
    <r>
      <rPr>
        <b/>
        <sz val="11"/>
        <color rgb="FFFF0000"/>
        <rFont val="Calibri"/>
        <family val="2"/>
        <charset val="238"/>
        <scheme val="minor"/>
      </rPr>
      <t>23% VAT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</si>
  <si>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 xml:space="preserve">Wynagrodzenie w poszczególnych latach - tylko pojemniki bez worków ale z utrzymaniem </t>
  </si>
  <si>
    <t>zakup pojemników - po okresie umowy - 21 miesięcy w umowie 39 m-cy poza okresem umowy (amortyzacja)</t>
  </si>
  <si>
    <t xml:space="preserve">wart brutto </t>
  </si>
  <si>
    <t>razem koszt w okresie umowy</t>
  </si>
  <si>
    <t xml:space="preserve">Papier pojemnikowo </t>
  </si>
  <si>
    <t xml:space="preserve">Papier workowo </t>
  </si>
  <si>
    <t xml:space="preserve">co roku nowy rodzaj pojemników z budzetu </t>
  </si>
  <si>
    <t>szkło -rok 2020</t>
  </si>
  <si>
    <t xml:space="preserve">120 l </t>
  </si>
  <si>
    <t xml:space="preserve">1100 l </t>
  </si>
  <si>
    <t xml:space="preserve">liczba sztuk </t>
  </si>
  <si>
    <t xml:space="preserve">cena jednostkowa </t>
  </si>
  <si>
    <t>cena brutto</t>
  </si>
  <si>
    <t>240 l</t>
  </si>
  <si>
    <t>360 l</t>
  </si>
  <si>
    <t xml:space="preserve">koszt nabycia </t>
  </si>
  <si>
    <t xml:space="preserve">koszt rozstawienia - brutto </t>
  </si>
  <si>
    <t>koszt nabycia i rozstawienia brutto</t>
  </si>
  <si>
    <t>tworzywa - rok 2021</t>
  </si>
  <si>
    <t xml:space="preserve">120l </t>
  </si>
  <si>
    <t>cena brutto- 23% VAT (dostawa)</t>
  </si>
  <si>
    <t>bioodpady - rok 2022 - 2 połrocze</t>
  </si>
  <si>
    <t>szkło -rok 2020 prze 1 października 2020</t>
  </si>
  <si>
    <t>nie ujmujemy w stawce prezentowanej poniżej</t>
  </si>
  <si>
    <t>sprawdzenie</t>
  </si>
  <si>
    <t xml:space="preserve">koszty zakupu i rozstawienia pojemników gminnych </t>
  </si>
  <si>
    <t>koszt rozstawienia - brutto 8% vat</t>
  </si>
  <si>
    <t xml:space="preserve"> </t>
  </si>
  <si>
    <t>Miejscowość</t>
  </si>
  <si>
    <t>Ulica</t>
  </si>
  <si>
    <t>Mieszkańcy</t>
  </si>
  <si>
    <t>stali</t>
  </si>
  <si>
    <t>czasowi</t>
  </si>
  <si>
    <t>aktualni</t>
  </si>
  <si>
    <t>BARCHNOWY</t>
  </si>
  <si>
    <t>BURSZTYNOWA</t>
  </si>
  <si>
    <t>DIAMENTOWA</t>
  </si>
  <si>
    <t>GŁÓWNA</t>
  </si>
  <si>
    <t>LEŚNA</t>
  </si>
  <si>
    <t>PERŁOWA</t>
  </si>
  <si>
    <t>RUBINOWA</t>
  </si>
  <si>
    <t>RZECZNA</t>
  </si>
  <si>
    <t>Razem</t>
  </si>
  <si>
    <t>BRZEŹNO WIELKIE</t>
  </si>
  <si>
    <t>ANDRZEJA GRUBBY</t>
  </si>
  <si>
    <t>BOCZNA</t>
  </si>
  <si>
    <t>KRÓTKA</t>
  </si>
  <si>
    <t>ŁĄKOWA</t>
  </si>
  <si>
    <t>OSIEDLE LEŚNE</t>
  </si>
  <si>
    <t>PIASKOWA</t>
  </si>
  <si>
    <t>POLNA</t>
  </si>
  <si>
    <t>RAJKOWSKA</t>
  </si>
  <si>
    <t>SŁONECZNA</t>
  </si>
  <si>
    <t>SWAROŻYŃSKA</t>
  </si>
  <si>
    <t>SZKOLNA</t>
  </si>
  <si>
    <t>CIECHOLEWY</t>
  </si>
  <si>
    <t>DĄBRÓWKA</t>
  </si>
  <si>
    <t>DĘBOWA</t>
  </si>
  <si>
    <t>GRANITOWA</t>
  </si>
  <si>
    <t>HERMANOWSKA</t>
  </si>
  <si>
    <t>JABŁOWSKA</t>
  </si>
  <si>
    <t>JARZĘBINOWA</t>
  </si>
  <si>
    <t>JASNA</t>
  </si>
  <si>
    <t>KRZEMIENNA</t>
  </si>
  <si>
    <t>LEŚNE WZGÓRZE</t>
  </si>
  <si>
    <t>LIPOWA</t>
  </si>
  <si>
    <t>OKRĘŻNA</t>
  </si>
  <si>
    <t>PŁACZEWSKA</t>
  </si>
  <si>
    <t>POŁUDNIOWA</t>
  </si>
  <si>
    <t>ROLNA</t>
  </si>
  <si>
    <t>STAROGARDZKA</t>
  </si>
  <si>
    <t>SZEROKA</t>
  </si>
  <si>
    <t>WSCHODNIA</t>
  </si>
  <si>
    <t>ŻWIROWA</t>
  </si>
  <si>
    <t>ŻYTNIA</t>
  </si>
  <si>
    <t>JABŁOWO</t>
  </si>
  <si>
    <t>BOBOWSKA</t>
  </si>
  <si>
    <t>CEGIELNA</t>
  </si>
  <si>
    <t>DWORCOWA</t>
  </si>
  <si>
    <t>DZIAŁKOWA</t>
  </si>
  <si>
    <t>GRABOWIECKA</t>
  </si>
  <si>
    <t>JODŁOWA</t>
  </si>
  <si>
    <t>NAD JEZIOREM</t>
  </si>
  <si>
    <t>OSIEDLOWA</t>
  </si>
  <si>
    <t>PELPLIŃSKA</t>
  </si>
  <si>
    <t>PRZYLEŚNA</t>
  </si>
  <si>
    <t>JANIN</t>
  </si>
  <si>
    <t>JANOWO</t>
  </si>
  <si>
    <t>AKACJOWA</t>
  </si>
  <si>
    <t>DŁUGA</t>
  </si>
  <si>
    <t>HEWELIUSZA</t>
  </si>
  <si>
    <t>WIŚNIOWA</t>
  </si>
  <si>
    <t>KLONÓWKA</t>
  </si>
  <si>
    <t>CEYNOWY</t>
  </si>
  <si>
    <t>KLONOWA</t>
  </si>
  <si>
    <t>KOŚCIELNA</t>
  </si>
  <si>
    <t>PARKOWA</t>
  </si>
  <si>
    <t>KOKOSZKOWY</t>
  </si>
  <si>
    <t>BRATERSKA</t>
  </si>
  <si>
    <t>CHABROWA</t>
  </si>
  <si>
    <t>DH. J. GRZYBKA</t>
  </si>
  <si>
    <t>GDAŃSKA</t>
  </si>
  <si>
    <t>JAŚMINOWA</t>
  </si>
  <si>
    <t>JESIONOWA</t>
  </si>
  <si>
    <t>KASZTANOWA</t>
  </si>
  <si>
    <t>KWIATOWA</t>
  </si>
  <si>
    <t>LAWENDOWA</t>
  </si>
  <si>
    <t>LILIOWA</t>
  </si>
  <si>
    <t>PODGÓRNA</t>
  </si>
  <si>
    <t>PODMIEJSKA</t>
  </si>
  <si>
    <t>RÓŻANA</t>
  </si>
  <si>
    <t>RUMIANKOWA</t>
  </si>
  <si>
    <t>SOSNOWA</t>
  </si>
  <si>
    <t>SPACEROWA</t>
  </si>
  <si>
    <t>SPOKOJNA</t>
  </si>
  <si>
    <t>SPÓŁDZIELCZA</t>
  </si>
  <si>
    <t>SZAFIROWA</t>
  </si>
  <si>
    <t>TOPOLOWA</t>
  </si>
  <si>
    <t>WRZOSOWA</t>
  </si>
  <si>
    <t>ZIELONA</t>
  </si>
  <si>
    <t>KOLINCZ</t>
  </si>
  <si>
    <t>BRZOZOWA</t>
  </si>
  <si>
    <t>KRĘTA</t>
  </si>
  <si>
    <t>MŁODYCH</t>
  </si>
  <si>
    <t>MODRZEWIOWA</t>
  </si>
  <si>
    <t>MOSTOWA</t>
  </si>
  <si>
    <t>OSIEDLE NA WYSPIE</t>
  </si>
  <si>
    <t>SPORTOWA</t>
  </si>
  <si>
    <t>KOTEŻE</t>
  </si>
  <si>
    <t>CZAJKI</t>
  </si>
  <si>
    <t>CZAPLI</t>
  </si>
  <si>
    <t>GILA</t>
  </si>
  <si>
    <t>GOŁĘBIA</t>
  </si>
  <si>
    <t>JANA WRÓBLEWSKIEGO</t>
  </si>
  <si>
    <t>JASTRZĘBIA</t>
  </si>
  <si>
    <t>KORMORANA</t>
  </si>
  <si>
    <t>KRUKA</t>
  </si>
  <si>
    <t>KUKUŁKI</t>
  </si>
  <si>
    <t>ORLIKA</t>
  </si>
  <si>
    <t>ORŁA</t>
  </si>
  <si>
    <t>RODZINNA</t>
  </si>
  <si>
    <t>SIKORKI</t>
  </si>
  <si>
    <t>SKOWRONKA</t>
  </si>
  <si>
    <t>SŁOWIKA</t>
  </si>
  <si>
    <t>SOKOŁA</t>
  </si>
  <si>
    <t>SZPAKA</t>
  </si>
  <si>
    <t>TOWARZYSKA</t>
  </si>
  <si>
    <t>WESOŁA</t>
  </si>
  <si>
    <t>ZIĘBY</t>
  </si>
  <si>
    <t>ŻURAWIA</t>
  </si>
  <si>
    <t>KRĄG</t>
  </si>
  <si>
    <t>JANA PAWŁA II</t>
  </si>
  <si>
    <t>NAD WIERZYCĄ</t>
  </si>
  <si>
    <t>PIĘKNA</t>
  </si>
  <si>
    <t>RADOSNA</t>
  </si>
  <si>
    <t>LINOWIEC</t>
  </si>
  <si>
    <t>PORANNA ROSA</t>
  </si>
  <si>
    <t>PRZYJAZNA</t>
  </si>
  <si>
    <t>UROCZA</t>
  </si>
  <si>
    <t>LIPINKI SZLACHECKIE</t>
  </si>
  <si>
    <t>DOLNA</t>
  </si>
  <si>
    <t>JAGIELLONÓW</t>
  </si>
  <si>
    <t>OGRODOWA</t>
  </si>
  <si>
    <t>PIASTOWSKA</t>
  </si>
  <si>
    <t>PRZYLESIE</t>
  </si>
  <si>
    <t>SOBIESKIEGO</t>
  </si>
  <si>
    <t>TĘCZOWA</t>
  </si>
  <si>
    <t>NOWA WIEŚ RZECZNA</t>
  </si>
  <si>
    <t>GŁOGOWA</t>
  </si>
  <si>
    <t>KALINOWA</t>
  </si>
  <si>
    <t>KSIĘŻYCOWA</t>
  </si>
  <si>
    <t>LESZCZYNOWA</t>
  </si>
  <si>
    <t>MAKOWA</t>
  </si>
  <si>
    <t>MIGDAŁOWA</t>
  </si>
  <si>
    <t>MŁYŃSKA</t>
  </si>
  <si>
    <t>OSIEDLE W. WITOSA</t>
  </si>
  <si>
    <t>OKOLE</t>
  </si>
  <si>
    <t>MIODOWA</t>
  </si>
  <si>
    <t>NAD STAWEM</t>
  </si>
  <si>
    <t>TRANSPORTOWCÓW</t>
  </si>
  <si>
    <t>OWIDZ</t>
  </si>
  <si>
    <t>NAD JAREM</t>
  </si>
  <si>
    <t>ROKOCIN</t>
  </si>
  <si>
    <t>F. PEPLIŃSKIEGO</t>
  </si>
  <si>
    <t>KRZYWA</t>
  </si>
  <si>
    <t>LETNIA</t>
  </si>
  <si>
    <t>MALINOWA</t>
  </si>
  <si>
    <t>OSIEDLE POLANKA</t>
  </si>
  <si>
    <t>PLAŻOWA</t>
  </si>
  <si>
    <t>POGODNA</t>
  </si>
  <si>
    <t>PROSTA</t>
  </si>
  <si>
    <t>PRZEDWIOŚNIE</t>
  </si>
  <si>
    <t>RYBACKA</t>
  </si>
  <si>
    <t>TRUSKAWKOWA</t>
  </si>
  <si>
    <t>UŁAŃSKA</t>
  </si>
  <si>
    <t>WODNA</t>
  </si>
  <si>
    <t>ZIOŁOWA</t>
  </si>
  <si>
    <t>RYWAŁD</t>
  </si>
  <si>
    <t>EKOLOGICZNA</t>
  </si>
  <si>
    <t>POPRZECZNA</t>
  </si>
  <si>
    <t>SADOWA</t>
  </si>
  <si>
    <t>WSPÓLNA</t>
  </si>
  <si>
    <t>SIWIAŁKA</t>
  </si>
  <si>
    <t>OSIEDLE LETNISKO</t>
  </si>
  <si>
    <t>STARY LAS</t>
  </si>
  <si>
    <t>SUCUMIN</t>
  </si>
  <si>
    <t>SUMIN</t>
  </si>
  <si>
    <t>SZPĘGAWSK</t>
  </si>
  <si>
    <t>KOLEJOWA</t>
  </si>
  <si>
    <t>TRZCIŃSK</t>
  </si>
  <si>
    <t>ALFONSA HELDT</t>
  </si>
  <si>
    <t>ZDUNY</t>
  </si>
  <si>
    <t>ŻABNO</t>
  </si>
  <si>
    <t>Liczba mieszkańców ogółem w gminie: 16352</t>
  </si>
  <si>
    <t xml:space="preserve">Odbieranie odpadów z nieruchomości zamieszkałych (wystawki) </t>
  </si>
  <si>
    <t xml:space="preserve">3-5 lokali mieszkalnych </t>
  </si>
  <si>
    <t xml:space="preserve">stawka zł Mg - odbieranie i przetwarzanie </t>
  </si>
  <si>
    <t xml:space="preserve">360 litrów skasowac i przenioeśc na 240 l </t>
  </si>
  <si>
    <t>Koteże</t>
  </si>
  <si>
    <t>Nowa Wieś Rzeczna</t>
  </si>
  <si>
    <t>Rokocin</t>
  </si>
  <si>
    <t>Stary Las</t>
  </si>
  <si>
    <t>Sucumin</t>
  </si>
  <si>
    <t>Sumin</t>
  </si>
  <si>
    <t>SEKTOR II</t>
  </si>
  <si>
    <t>Liczba deklaracji</t>
  </si>
  <si>
    <t>Owidz</t>
  </si>
  <si>
    <t>Barchnowy</t>
  </si>
  <si>
    <t>Dąbrówka</t>
  </si>
  <si>
    <t>Jabłowo</t>
  </si>
  <si>
    <t>Janowo</t>
  </si>
  <si>
    <t>Lipinki Szlacheckie</t>
  </si>
  <si>
    <t>SEKTOR III</t>
  </si>
  <si>
    <t>Ciecholewy</t>
  </si>
  <si>
    <t>Janin</t>
  </si>
  <si>
    <t>Kokoszkowy</t>
  </si>
  <si>
    <t>Krąg</t>
  </si>
  <si>
    <t>Linowiec</t>
  </si>
  <si>
    <t>Okole</t>
  </si>
  <si>
    <t>Siwiałka</t>
  </si>
  <si>
    <t>Trzcińsk</t>
  </si>
  <si>
    <t>Żabno</t>
  </si>
  <si>
    <t>SEKTOR IV</t>
  </si>
  <si>
    <t>Klonówka</t>
  </si>
  <si>
    <t>Kolincz</t>
  </si>
  <si>
    <t>Rywałd</t>
  </si>
  <si>
    <t>Szpęgawsk</t>
  </si>
  <si>
    <t>Zduny</t>
  </si>
  <si>
    <t xml:space="preserve">pojemniki 240 l </t>
  </si>
  <si>
    <t xml:space="preserve">worki/pojemniki 120 l </t>
  </si>
  <si>
    <t>uwaga worki w roku 2020 i 2021 , dopiero od 1 październiak 2021 pojemniki gminne</t>
  </si>
  <si>
    <t>Stan na 18.05.2020 r.</t>
  </si>
  <si>
    <t>SEKTOR I</t>
  </si>
  <si>
    <t>Sołectwo</t>
  </si>
  <si>
    <t>Liczba deklaracji naliczających opłatę</t>
  </si>
  <si>
    <t>Zabudowa jednorodzinna</t>
  </si>
  <si>
    <t>Zabudowa wielorodzinna</t>
  </si>
  <si>
    <t>Liczba deklaracji dla gospodartw domowych jednoosobowych</t>
  </si>
  <si>
    <t>Liczba deklaracji dla gospodarstw domowych jednoosobowych nie kompostujacych odpadów ''BIO'' we własnym zakresie</t>
  </si>
  <si>
    <t>Liczba deklaracji dla gospodarstw domowych wieloosobowych</t>
  </si>
  <si>
    <t>Liczba deklaracji dla gospodarstw domowych wieloosobowych nie kompostujacych odpadów ''BIO'' we własnym zakresie</t>
  </si>
  <si>
    <t>Liczba deklaracji dla budynków wielolokalowych</t>
  </si>
  <si>
    <t>Liczba gospodarstw domowych jednoosobowych w budynkach wielolokalowych</t>
  </si>
  <si>
    <t>Liczba gospodarstw domowych wieloosobowych w budynkach wielolokalowych</t>
  </si>
  <si>
    <t>Liczba deklaracji dla gospodarstw domowych  nie kompostujacych odpadów ''BIO'' we własnym zakresie</t>
  </si>
  <si>
    <t xml:space="preserve">                           suma:</t>
  </si>
  <si>
    <t>Liczba deklaracji dla gospodarstw domowych jednoosobowych nie kompostujących odpadów ''BIO'' we własnym zakresie</t>
  </si>
  <si>
    <t>Liczba deklaracji dla gospodarstw domowych wieloosobowych nie kompostujących odpadów ''BIO'' we własnym zakresie</t>
  </si>
  <si>
    <t>szkolna 7 - nie przypisane do wielorodzinnych</t>
  </si>
  <si>
    <t xml:space="preserve">nad jeziorem 2 </t>
  </si>
  <si>
    <t>suma:</t>
  </si>
  <si>
    <t>kowalska ewelina 0 do wieloosob.</t>
  </si>
  <si>
    <t>linowiec 22</t>
  </si>
  <si>
    <t>'0'' do wielosobowych</t>
  </si>
  <si>
    <t>'0'' do wieloosobowych</t>
  </si>
  <si>
    <t>Brzeźno Wielkie</t>
  </si>
  <si>
    <t>2''00'' do wieloosobowych</t>
  </si>
  <si>
    <t>2''0'' do wieloosobowych</t>
  </si>
  <si>
    <t xml:space="preserve">                              suma dla wszystkich sektorów:</t>
  </si>
  <si>
    <t>Wyposażenie nieruchomości w pojemniki i worki do zbiórki odpadów i ich utrzymanie w nalezytym stanie technicznym</t>
  </si>
  <si>
    <r>
      <t xml:space="preserve">Wykonawca kalkulując stawkę i cenę weźmie pod uwagę, że jest odpowiedzialny za ich prawidłową wycenę uwzględniając koszty odbierania odpadów, dostarczenia pojemników i ich utrzymania w należytym stanie technicznym oraz koszty dostarczenia worków. </t>
    </r>
    <r>
      <rPr>
        <b/>
        <sz val="11"/>
        <color theme="1"/>
        <rFont val="Calibri"/>
        <family val="2"/>
        <charset val="238"/>
        <scheme val="minor"/>
      </rPr>
      <t>Wykonawca uwzględni, marżę zysku, opłaty, podatki i inne zobowiązania wynikające z umowy.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</si>
  <si>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zł/Mg</t>
  </si>
  <si>
    <t xml:space="preserve">Jednostka ofertowa </t>
  </si>
  <si>
    <t>zł/szt</t>
  </si>
  <si>
    <t>ryczałt zł/mc</t>
  </si>
  <si>
    <t>ok 20% zabudowy jednorodzinne i zadeklarowało kompostowanie</t>
  </si>
  <si>
    <t xml:space="preserve">sektor 1 </t>
  </si>
  <si>
    <t>liczba deklaracji - zabudowa jednorodzinna</t>
  </si>
  <si>
    <t>sektor 2</t>
  </si>
  <si>
    <t>sektor 3</t>
  </si>
  <si>
    <t>sektor 4</t>
  </si>
  <si>
    <t xml:space="preserve">liczba  nieruchomości deklarujących kompostowanie </t>
  </si>
  <si>
    <t>20 01 33* - 20 01 19*, 15 01 10*</t>
  </si>
  <si>
    <t>2020 (paź-grudz)</t>
  </si>
  <si>
    <t>Odbieranie odpadów z nieruchomości zamieszkałych</t>
  </si>
  <si>
    <t>stawka jednostkowa brutto 2022 r.</t>
  </si>
  <si>
    <t>stawka jednostkowa brutto 2023 r.</t>
  </si>
  <si>
    <t>cena ofertowa brutto -2022 r.</t>
  </si>
  <si>
    <t>cena ofertowa brutto -2023 r.</t>
  </si>
  <si>
    <t xml:space="preserve">Dostarczenie i utrzymanie pojemników wykonawcy na odpady zmieszane w należytym stanie technicznym </t>
  </si>
  <si>
    <t>2021 (styczeń-wrzesień)</t>
  </si>
  <si>
    <t>Bio</t>
  </si>
  <si>
    <t>Zmieszane odpady opakowaniowe</t>
  </si>
  <si>
    <t>Odpady zuzytego sprzeętu elektrycznego i elektronicznego</t>
  </si>
  <si>
    <t>Zużyte baterie i akumulatory</t>
  </si>
  <si>
    <t>Chemikalia</t>
  </si>
  <si>
    <t>Przeterminowane leki</t>
  </si>
  <si>
    <t>20 03 01</t>
  </si>
  <si>
    <t>20 02 01, 20 01 08</t>
  </si>
  <si>
    <t>15 01 01, 20 01 01</t>
  </si>
  <si>
    <t>20 01 35*, 20 01 36, 20 01 23*</t>
  </si>
  <si>
    <t>20 01 33*, 20 01 34</t>
  </si>
  <si>
    <t>20 01 31*, 20 01 32</t>
  </si>
  <si>
    <t>Dostarczenie i utrzymanie pojemników wykonawcy na  papier, tworzywa sztuczne i bio w należytym stanie technicznym (dot. zabudowy wielorodzinnej)</t>
  </si>
  <si>
    <t>Dostarczenie i dystrybucja worków do zbierania selektywnego metali i tworzyw sztucznych oraz bio (min. 120 l)</t>
  </si>
  <si>
    <t>Dostarczenie i dystrybucja worków do zbierania selektywnego papieru (min. 120 l)</t>
  </si>
  <si>
    <t>2022 
(lipiec-grudzień)</t>
  </si>
  <si>
    <t>2023 
(styczeń - czerwiec)</t>
  </si>
  <si>
    <t>Odpady zużytego sprzeętu elektrycznego i elektronicznego</t>
  </si>
  <si>
    <t xml:space="preserve">WYKAZ CEN - CZĘŚĆ I - sektor 1 - odbieranie odpadów </t>
  </si>
  <si>
    <t xml:space="preserve">WYKAZ CEN - CZĘŚĆ II - sektor 1 - odbieranie odpadów </t>
  </si>
  <si>
    <t>2022 
(Mg)</t>
  </si>
  <si>
    <t xml:space="preserve">WYKAZ CEN - CZĘŚĆ III - sektor 2 - odbieranie odpadów </t>
  </si>
  <si>
    <t xml:space="preserve">WYKAZ CEN - CZĘŚĆ IV - sektor 2 - odbieranie odpadów </t>
  </si>
  <si>
    <t xml:space="preserve">WYKAZ CEN - CZĘŚĆ V - sektor 3 - odbieranie odpadów </t>
  </si>
  <si>
    <t xml:space="preserve">WYKAZ CEN - CZĘŚĆ VI - sektor 3 - odbieranie odpadów </t>
  </si>
  <si>
    <t xml:space="preserve">WYKAZ CEN - CZĘŚĆ VII - sektor 4 - odbieranie odpadów </t>
  </si>
  <si>
    <t xml:space="preserve">WYKAZ CEN - CZĘŚĆ VIII - sektor 4 - odbieranie odpadów </t>
  </si>
  <si>
    <t>Odbieranie odpadów z nieruchomości zamieszkałych w ramach tzw. wystawek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</si>
</sst>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0.0%"/>
    <numFmt numFmtId="167" formatCode="0.0000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00206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8"/>
      <color rgb="FFFF0000"/>
      <name val="Calibri"/>
      <family val="2"/>
      <charset val="238"/>
      <scheme val="minor"/>
    </font>
    <font>
      <strike/>
      <sz val="11"/>
      <color rgb="FF002060"/>
      <name val="Calibri"/>
      <family val="2"/>
      <charset val="238"/>
      <scheme val="minor"/>
    </font>
    <font>
      <strike/>
      <sz val="8"/>
      <color rgb="FF00206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Microsoft Sans Serif"/>
      <family val="2"/>
      <charset val="238"/>
    </font>
    <font>
      <sz val="9"/>
      <color theme="1"/>
      <name val="Microsoft Sans Serif"/>
      <family val="2"/>
      <charset val="238"/>
    </font>
    <font>
      <b/>
      <sz val="10"/>
      <color theme="1"/>
      <name val="Microsoft Sans Serif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164" fontId="0" fillId="0" borderId="5" xfId="0" applyNumberFormat="1" applyBorder="1"/>
    <xf numFmtId="164" fontId="0" fillId="0" borderId="7" xfId="0" applyNumberForma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14" xfId="0" applyNumberFormat="1" applyFont="1" applyBorder="1"/>
    <xf numFmtId="164" fontId="0" fillId="0" borderId="16" xfId="0" applyNumberFormat="1" applyBorder="1"/>
    <xf numFmtId="164" fontId="2" fillId="2" borderId="2" xfId="0" applyNumberFormat="1" applyFont="1" applyFill="1" applyBorder="1"/>
    <xf numFmtId="0" fontId="0" fillId="0" borderId="17" xfId="0" applyBorder="1"/>
    <xf numFmtId="164" fontId="0" fillId="0" borderId="18" xfId="0" applyNumberFormat="1" applyBorder="1"/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" xfId="0" applyFont="1" applyBorder="1"/>
    <xf numFmtId="0" fontId="3" fillId="0" borderId="0" xfId="0" applyFont="1"/>
    <xf numFmtId="2" fontId="0" fillId="0" borderId="0" xfId="0" applyNumberFormat="1"/>
    <xf numFmtId="0" fontId="5" fillId="0" borderId="0" xfId="0" applyFont="1" applyAlignment="1">
      <alignment horizontal="justify" vertical="center"/>
    </xf>
    <xf numFmtId="0" fontId="6" fillId="0" borderId="1" xfId="0" applyFont="1" applyBorder="1"/>
    <xf numFmtId="164" fontId="6" fillId="0" borderId="1" xfId="0" applyNumberFormat="1" applyFont="1" applyFill="1" applyBorder="1"/>
    <xf numFmtId="164" fontId="7" fillId="0" borderId="1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2" fontId="6" fillId="0" borderId="1" xfId="0" applyNumberFormat="1" applyFont="1" applyBorder="1"/>
    <xf numFmtId="0" fontId="10" fillId="0" borderId="0" xfId="0" applyFont="1"/>
    <xf numFmtId="9" fontId="0" fillId="0" borderId="1" xfId="0" applyNumberFormat="1" applyBorder="1"/>
    <xf numFmtId="9" fontId="10" fillId="0" borderId="1" xfId="0" applyNumberFormat="1" applyFont="1" applyBorder="1"/>
    <xf numFmtId="0" fontId="10" fillId="0" borderId="1" xfId="0" applyFont="1" applyBorder="1"/>
    <xf numFmtId="0" fontId="11" fillId="3" borderId="1" xfId="0" applyFont="1" applyFill="1" applyBorder="1" applyAlignment="1">
      <alignment wrapText="1"/>
    </xf>
    <xf numFmtId="165" fontId="11" fillId="3" borderId="1" xfId="1" applyNumberFormat="1" applyFont="1" applyFill="1" applyBorder="1" applyAlignment="1">
      <alignment wrapText="1"/>
    </xf>
    <xf numFmtId="164" fontId="10" fillId="0" borderId="1" xfId="0" applyNumberFormat="1" applyFont="1" applyBorder="1"/>
    <xf numFmtId="0" fontId="1" fillId="4" borderId="1" xfId="0" applyFont="1" applyFill="1" applyBorder="1"/>
    <xf numFmtId="164" fontId="12" fillId="0" borderId="1" xfId="0" applyNumberFormat="1" applyFont="1" applyBorder="1"/>
    <xf numFmtId="0" fontId="1" fillId="0" borderId="0" xfId="0" applyFont="1"/>
    <xf numFmtId="0" fontId="13" fillId="0" borderId="0" xfId="0" applyFont="1" applyAlignment="1">
      <alignment horizontal="justify" vertical="center"/>
    </xf>
    <xf numFmtId="2" fontId="10" fillId="0" borderId="1" xfId="0" applyNumberFormat="1" applyFont="1" applyBorder="1"/>
    <xf numFmtId="0" fontId="0" fillId="0" borderId="0" xfId="0" applyBorder="1"/>
    <xf numFmtId="164" fontId="2" fillId="0" borderId="2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0" fontId="8" fillId="0" borderId="0" xfId="0" applyFont="1" applyFill="1" applyBorder="1"/>
    <xf numFmtId="0" fontId="8" fillId="0" borderId="19" xfId="0" applyFont="1" applyBorder="1"/>
    <xf numFmtId="0" fontId="4" fillId="0" borderId="1" xfId="0" applyFont="1" applyBorder="1"/>
    <xf numFmtId="164" fontId="4" fillId="0" borderId="0" xfId="0" applyNumberFormat="1" applyFont="1" applyBorder="1"/>
    <xf numFmtId="0" fontId="8" fillId="0" borderId="1" xfId="0" applyFont="1" applyFill="1" applyBorder="1"/>
    <xf numFmtId="9" fontId="0" fillId="0" borderId="0" xfId="1" applyFont="1"/>
    <xf numFmtId="9" fontId="1" fillId="0" borderId="0" xfId="1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9" fontId="0" fillId="6" borderId="1" xfId="0" applyNumberFormat="1" applyFill="1" applyBorder="1"/>
    <xf numFmtId="2" fontId="0" fillId="5" borderId="1" xfId="0" applyNumberFormat="1" applyFill="1" applyBorder="1"/>
    <xf numFmtId="2" fontId="2" fillId="5" borderId="1" xfId="0" applyNumberFormat="1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6" fillId="0" borderId="0" xfId="0" applyNumberFormat="1" applyFont="1"/>
    <xf numFmtId="1" fontId="8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2" fillId="0" borderId="0" xfId="0" applyFont="1"/>
    <xf numFmtId="0" fontId="1" fillId="0" borderId="0" xfId="0" applyFont="1" applyAlignment="1">
      <alignment wrapText="1"/>
    </xf>
    <xf numFmtId="0" fontId="14" fillId="0" borderId="20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wrapText="1"/>
    </xf>
    <xf numFmtId="9" fontId="0" fillId="0" borderId="4" xfId="0" applyNumberFormat="1" applyBorder="1"/>
    <xf numFmtId="2" fontId="1" fillId="6" borderId="1" xfId="0" applyNumberFormat="1" applyFont="1" applyFill="1" applyBorder="1"/>
    <xf numFmtId="2" fontId="0" fillId="6" borderId="1" xfId="0" applyNumberFormat="1" applyFill="1" applyBorder="1"/>
    <xf numFmtId="0" fontId="2" fillId="7" borderId="1" xfId="0" applyFont="1" applyFill="1" applyBorder="1" applyAlignment="1">
      <alignment horizontal="center" vertical="center" wrapText="1"/>
    </xf>
    <xf numFmtId="9" fontId="1" fillId="7" borderId="0" xfId="0" applyNumberFormat="1" applyFont="1" applyFill="1"/>
    <xf numFmtId="43" fontId="0" fillId="5" borderId="4" xfId="2" applyFont="1" applyFill="1" applyBorder="1"/>
    <xf numFmtId="0" fontId="17" fillId="7" borderId="0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9" fillId="8" borderId="1" xfId="0" applyFont="1" applyFill="1" applyBorder="1"/>
    <xf numFmtId="0" fontId="0" fillId="9" borderId="0" xfId="0" applyFill="1" applyBorder="1"/>
    <xf numFmtId="2" fontId="0" fillId="9" borderId="0" xfId="0" applyNumberFormat="1" applyFill="1" applyBorder="1"/>
    <xf numFmtId="9" fontId="0" fillId="9" borderId="0" xfId="0" applyNumberFormat="1" applyFill="1" applyBorder="1"/>
    <xf numFmtId="0" fontId="0" fillId="9" borderId="2" xfId="0" applyFill="1" applyBorder="1"/>
    <xf numFmtId="0" fontId="14" fillId="0" borderId="20" xfId="0" applyFont="1" applyFill="1" applyBorder="1" applyAlignment="1">
      <alignment vertical="center" wrapText="1"/>
    </xf>
    <xf numFmtId="0" fontId="0" fillId="9" borderId="1" xfId="0" applyFill="1" applyBorder="1"/>
    <xf numFmtId="0" fontId="0" fillId="9" borderId="1" xfId="0" applyFill="1" applyBorder="1" applyAlignment="1">
      <alignment wrapText="1"/>
    </xf>
    <xf numFmtId="0" fontId="23" fillId="8" borderId="1" xfId="0" applyFont="1" applyFill="1" applyBorder="1"/>
    <xf numFmtId="0" fontId="2" fillId="7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0" fillId="7" borderId="1" xfId="2" applyNumberFormat="1" applyFont="1" applyFill="1" applyBorder="1" applyAlignment="1">
      <alignment wrapText="1"/>
    </xf>
    <xf numFmtId="4" fontId="1" fillId="7" borderId="1" xfId="2" applyNumberFormat="1" applyFont="1" applyFill="1" applyBorder="1" applyAlignment="1">
      <alignment wrapText="1"/>
    </xf>
    <xf numFmtId="4" fontId="2" fillId="7" borderId="1" xfId="2" applyNumberFormat="1" applyFont="1" applyFill="1" applyBorder="1" applyAlignment="1">
      <alignment wrapText="1"/>
    </xf>
    <xf numFmtId="4" fontId="16" fillId="7" borderId="1" xfId="0" applyNumberFormat="1" applyFont="1" applyFill="1" applyBorder="1" applyAlignment="1">
      <alignment horizontal="center" wrapText="1"/>
    </xf>
    <xf numFmtId="4" fontId="0" fillId="0" borderId="0" xfId="0" applyNumberFormat="1" applyAlignment="1">
      <alignment wrapText="1"/>
    </xf>
    <xf numFmtId="4" fontId="12" fillId="0" borderId="0" xfId="0" applyNumberFormat="1" applyFont="1" applyAlignment="1">
      <alignment wrapText="1"/>
    </xf>
    <xf numFmtId="0" fontId="0" fillId="10" borderId="1" xfId="0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4" fontId="0" fillId="10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4" fontId="16" fillId="10" borderId="1" xfId="0" applyNumberFormat="1" applyFont="1" applyFill="1" applyBorder="1" applyAlignment="1">
      <alignment horizontal="center" wrapText="1"/>
    </xf>
    <xf numFmtId="0" fontId="1" fillId="0" borderId="4" xfId="0" applyFont="1" applyBorder="1"/>
    <xf numFmtId="0" fontId="1" fillId="0" borderId="1" xfId="0" applyFont="1" applyFill="1" applyBorder="1"/>
    <xf numFmtId="2" fontId="24" fillId="0" borderId="0" xfId="0" applyNumberFormat="1" applyFont="1" applyAlignment="1">
      <alignment wrapText="1"/>
    </xf>
    <xf numFmtId="2" fontId="25" fillId="0" borderId="0" xfId="0" applyNumberFormat="1" applyFont="1" applyAlignment="1">
      <alignment wrapText="1"/>
    </xf>
    <xf numFmtId="2" fontId="28" fillId="0" borderId="0" xfId="0" applyNumberFormat="1" applyFont="1"/>
    <xf numFmtId="43" fontId="29" fillId="5" borderId="4" xfId="2" applyFont="1" applyFill="1" applyBorder="1"/>
    <xf numFmtId="2" fontId="29" fillId="6" borderId="1" xfId="0" applyNumberFormat="1" applyFont="1" applyFill="1" applyBorder="1"/>
    <xf numFmtId="0" fontId="29" fillId="0" borderId="1" xfId="0" applyFont="1" applyBorder="1"/>
    <xf numFmtId="9" fontId="29" fillId="0" borderId="4" xfId="0" applyNumberFormat="1" applyFont="1" applyBorder="1"/>
    <xf numFmtId="0" fontId="19" fillId="8" borderId="4" xfId="0" applyFont="1" applyFill="1" applyBorder="1"/>
    <xf numFmtId="2" fontId="1" fillId="6" borderId="4" xfId="0" applyNumberFormat="1" applyFont="1" applyFill="1" applyBorder="1"/>
    <xf numFmtId="2" fontId="29" fillId="6" borderId="4" xfId="0" applyNumberFormat="1" applyFont="1" applyFill="1" applyBorder="1"/>
    <xf numFmtId="0" fontId="29" fillId="0" borderId="4" xfId="0" applyFont="1" applyBorder="1"/>
    <xf numFmtId="43" fontId="29" fillId="5" borderId="5" xfId="2" applyFont="1" applyFill="1" applyBorder="1"/>
    <xf numFmtId="0" fontId="0" fillId="0" borderId="8" xfId="0" applyBorder="1" applyAlignment="1">
      <alignment wrapText="1"/>
    </xf>
    <xf numFmtId="0" fontId="19" fillId="8" borderId="9" xfId="0" applyFont="1" applyFill="1" applyBorder="1"/>
    <xf numFmtId="2" fontId="1" fillId="6" borderId="9" xfId="0" applyNumberFormat="1" applyFont="1" applyFill="1" applyBorder="1"/>
    <xf numFmtId="2" fontId="29" fillId="6" borderId="9" xfId="0" applyNumberFormat="1" applyFont="1" applyFill="1" applyBorder="1"/>
    <xf numFmtId="0" fontId="29" fillId="0" borderId="9" xfId="0" applyFont="1" applyBorder="1"/>
    <xf numFmtId="43" fontId="0" fillId="5" borderId="5" xfId="2" applyFont="1" applyFill="1" applyBorder="1"/>
    <xf numFmtId="2" fontId="0" fillId="6" borderId="9" xfId="0" applyNumberFormat="1" applyFill="1" applyBorder="1"/>
    <xf numFmtId="0" fontId="0" fillId="0" borderId="1" xfId="0" applyBorder="1" applyAlignment="1">
      <alignment wrapText="1"/>
    </xf>
    <xf numFmtId="9" fontId="29" fillId="0" borderId="1" xfId="0" applyNumberFormat="1" applyFont="1" applyBorder="1"/>
    <xf numFmtId="43" fontId="29" fillId="5" borderId="1" xfId="2" applyFont="1" applyFill="1" applyBorder="1"/>
    <xf numFmtId="43" fontId="0" fillId="5" borderId="1" xfId="2" applyFont="1" applyFill="1" applyBorder="1"/>
    <xf numFmtId="2" fontId="24" fillId="5" borderId="1" xfId="2" applyNumberFormat="1" applyFont="1" applyFill="1" applyBorder="1"/>
    <xf numFmtId="0" fontId="0" fillId="0" borderId="4" xfId="0" applyBorder="1" applyAlignment="1">
      <alignment wrapText="1"/>
    </xf>
    <xf numFmtId="43" fontId="29" fillId="5" borderId="7" xfId="2" applyFont="1" applyFill="1" applyBorder="1"/>
    <xf numFmtId="0" fontId="0" fillId="0" borderId="9" xfId="0" applyBorder="1" applyAlignment="1">
      <alignment wrapText="1"/>
    </xf>
    <xf numFmtId="9" fontId="29" fillId="0" borderId="9" xfId="0" applyNumberFormat="1" applyFont="1" applyBorder="1"/>
    <xf numFmtId="43" fontId="29" fillId="5" borderId="9" xfId="2" applyFont="1" applyFill="1" applyBorder="1"/>
    <xf numFmtId="43" fontId="29" fillId="5" borderId="10" xfId="2" applyFont="1" applyFill="1" applyBorder="1"/>
    <xf numFmtId="43" fontId="0" fillId="5" borderId="7" xfId="2" applyFont="1" applyFill="1" applyBorder="1"/>
    <xf numFmtId="9" fontId="0" fillId="0" borderId="9" xfId="0" applyNumberFormat="1" applyBorder="1"/>
    <xf numFmtId="43" fontId="0" fillId="5" borderId="9" xfId="2" applyFont="1" applyFill="1" applyBorder="1"/>
    <xf numFmtId="43" fontId="0" fillId="5" borderId="10" xfId="2" applyFont="1" applyFill="1" applyBorder="1"/>
    <xf numFmtId="2" fontId="0" fillId="6" borderId="4" xfId="0" applyNumberFormat="1" applyFill="1" applyBorder="1"/>
    <xf numFmtId="43" fontId="0" fillId="5" borderId="25" xfId="2" applyFont="1" applyFill="1" applyBorder="1"/>
    <xf numFmtId="43" fontId="0" fillId="5" borderId="19" xfId="2" applyFont="1" applyFill="1" applyBorder="1"/>
    <xf numFmtId="2" fontId="24" fillId="0" borderId="2" xfId="0" applyNumberFormat="1" applyFont="1" applyBorder="1" applyAlignment="1">
      <alignment wrapText="1"/>
    </xf>
    <xf numFmtId="2" fontId="26" fillId="0" borderId="2" xfId="0" applyNumberFormat="1" applyFont="1" applyBorder="1"/>
    <xf numFmtId="2" fontId="27" fillId="8" borderId="2" xfId="0" applyNumberFormat="1" applyFont="1" applyFill="1" applyBorder="1"/>
    <xf numFmtId="2" fontId="24" fillId="0" borderId="2" xfId="0" applyNumberFormat="1" applyFont="1" applyBorder="1"/>
    <xf numFmtId="2" fontId="24" fillId="6" borderId="2" xfId="0" applyNumberFormat="1" applyFont="1" applyFill="1" applyBorder="1"/>
    <xf numFmtId="2" fontId="24" fillId="5" borderId="2" xfId="2" applyNumberFormat="1" applyFont="1" applyFill="1" applyBorder="1"/>
    <xf numFmtId="0" fontId="23" fillId="8" borderId="4" xfId="0" applyFont="1" applyFill="1" applyBorder="1"/>
    <xf numFmtId="0" fontId="1" fillId="0" borderId="4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43" fontId="0" fillId="0" borderId="1" xfId="0" applyNumberForma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0" fillId="7" borderId="1" xfId="0" applyFill="1" applyBorder="1"/>
    <xf numFmtId="0" fontId="0" fillId="7" borderId="26" xfId="0" applyFill="1" applyBorder="1"/>
    <xf numFmtId="0" fontId="2" fillId="0" borderId="1" xfId="0" applyFont="1" applyBorder="1"/>
    <xf numFmtId="0" fontId="0" fillId="2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30" fillId="0" borderId="1" xfId="0" applyFont="1" applyBorder="1"/>
    <xf numFmtId="0" fontId="2" fillId="6" borderId="20" xfId="0" applyFont="1" applyFill="1" applyBorder="1"/>
    <xf numFmtId="43" fontId="0" fillId="0" borderId="0" xfId="0" applyNumberFormat="1"/>
    <xf numFmtId="0" fontId="4" fillId="11" borderId="0" xfId="0" applyFont="1" applyFill="1"/>
    <xf numFmtId="4" fontId="0" fillId="10" borderId="1" xfId="0" applyNumberFormat="1" applyFill="1" applyBorder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29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3" fillId="0" borderId="21" xfId="0" applyFont="1" applyBorder="1" applyAlignment="1">
      <alignment horizontal="right" vertical="center" wrapText="1"/>
    </xf>
    <xf numFmtId="0" fontId="33" fillId="0" borderId="23" xfId="0" applyFont="1" applyBorder="1" applyAlignment="1">
      <alignment vertical="center" wrapText="1"/>
    </xf>
    <xf numFmtId="0" fontId="33" fillId="0" borderId="33" xfId="0" applyFont="1" applyBorder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2" fillId="0" borderId="34" xfId="0" applyFont="1" applyBorder="1" applyAlignment="1">
      <alignment horizontal="right" vertical="center" wrapText="1"/>
    </xf>
    <xf numFmtId="0" fontId="32" fillId="0" borderId="32" xfId="0" applyFont="1" applyBorder="1" applyAlignment="1">
      <alignment horizontal="right" vertical="center" wrapText="1"/>
    </xf>
    <xf numFmtId="0" fontId="34" fillId="0" borderId="0" xfId="0" applyFont="1" applyAlignment="1">
      <alignment vertic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12" borderId="0" xfId="0" applyFont="1" applyFill="1"/>
    <xf numFmtId="0" fontId="0" fillId="12" borderId="0" xfId="0" applyFill="1"/>
    <xf numFmtId="0" fontId="2" fillId="0" borderId="26" xfId="0" applyFont="1" applyBorder="1"/>
    <xf numFmtId="0" fontId="2" fillId="13" borderId="1" xfId="0" applyFont="1" applyFill="1" applyBorder="1"/>
    <xf numFmtId="0" fontId="1" fillId="0" borderId="6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26" xfId="0" applyBorder="1"/>
    <xf numFmtId="0" fontId="0" fillId="0" borderId="0" xfId="0" quotePrefix="1"/>
    <xf numFmtId="0" fontId="0" fillId="0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1" xfId="0" applyFill="1" applyBorder="1"/>
    <xf numFmtId="0" fontId="0" fillId="0" borderId="1" xfId="1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167" fontId="15" fillId="0" borderId="1" xfId="0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vertical="center" wrapText="1"/>
    </xf>
    <xf numFmtId="1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4" borderId="4" xfId="0" applyFont="1" applyFill="1" applyBorder="1"/>
    <xf numFmtId="0" fontId="1" fillId="7" borderId="4" xfId="0" applyFont="1" applyFill="1" applyBorder="1"/>
    <xf numFmtId="0" fontId="1" fillId="7" borderId="1" xfId="0" applyFont="1" applyFill="1" applyBorder="1"/>
    <xf numFmtId="0" fontId="14" fillId="0" borderId="0" xfId="0" applyFont="1" applyFill="1" applyBorder="1" applyAlignment="1">
      <alignment vertical="center" wrapText="1"/>
    </xf>
    <xf numFmtId="44" fontId="0" fillId="5" borderId="1" xfId="0" applyNumberFormat="1" applyFill="1" applyBorder="1"/>
    <xf numFmtId="44" fontId="0" fillId="0" borderId="0" xfId="0" applyNumberFormat="1"/>
    <xf numFmtId="0" fontId="35" fillId="0" borderId="0" xfId="0" applyFont="1" applyFill="1" applyBorder="1" applyAlignment="1">
      <alignment wrapText="1"/>
    </xf>
    <xf numFmtId="44" fontId="0" fillId="6" borderId="1" xfId="0" applyNumberFormat="1" applyFill="1" applyBorder="1"/>
    <xf numFmtId="44" fontId="2" fillId="5" borderId="2" xfId="0" applyNumberFormat="1" applyFont="1" applyFill="1" applyBorder="1"/>
    <xf numFmtId="0" fontId="14" fillId="14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5" borderId="1" xfId="0" applyNumberFormat="1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9" fillId="0" borderId="4" xfId="0" applyFont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29" fillId="5" borderId="4" xfId="0" applyFont="1" applyFill="1" applyBorder="1" applyAlignment="1">
      <alignment horizontal="right"/>
    </xf>
    <xf numFmtId="0" fontId="29" fillId="5" borderId="1" xfId="0" applyFont="1" applyFill="1" applyBorder="1" applyAlignment="1">
      <alignment horizontal="right"/>
    </xf>
    <xf numFmtId="0" fontId="29" fillId="5" borderId="5" xfId="0" applyFont="1" applyFill="1" applyBorder="1" applyAlignment="1">
      <alignment horizontal="right"/>
    </xf>
    <xf numFmtId="0" fontId="29" fillId="5" borderId="7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29" fillId="6" borderId="4" xfId="0" applyFont="1" applyFill="1" applyBorder="1" applyAlignment="1">
      <alignment horizontal="right"/>
    </xf>
    <xf numFmtId="0" fontId="29" fillId="6" borderId="1" xfId="0" applyFont="1" applyFill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5"/>
  <sheetViews>
    <sheetView tabSelected="1" zoomScale="80" zoomScaleNormal="80" workbookViewId="0">
      <selection activeCell="K49" sqref="K49"/>
    </sheetView>
  </sheetViews>
  <sheetFormatPr defaultRowHeight="15" x14ac:dyDescent="0.25"/>
  <cols>
    <col min="2" max="2" width="16.85546875" customWidth="1"/>
    <col min="3" max="3" width="26.7109375" customWidth="1"/>
    <col min="4" max="5" width="10.5703125" hidden="1" customWidth="1"/>
    <col min="6" max="6" width="11" customWidth="1"/>
    <col min="7" max="7" width="11.28515625" customWidth="1"/>
    <col min="8" max="8" width="13.28515625" customWidth="1"/>
    <col min="9" max="9" width="20" customWidth="1"/>
    <col min="10" max="10" width="17.42578125" customWidth="1"/>
    <col min="11" max="11" width="17.5703125" customWidth="1"/>
    <col min="12" max="12" width="18" customWidth="1"/>
  </cols>
  <sheetData>
    <row r="1" spans="2:12" x14ac:dyDescent="0.25">
      <c r="B1" s="64" t="s">
        <v>526</v>
      </c>
    </row>
    <row r="2" spans="2:12" x14ac:dyDescent="0.25">
      <c r="B2" s="65" t="s">
        <v>81</v>
      </c>
    </row>
    <row r="3" spans="2:12" x14ac:dyDescent="0.25">
      <c r="B3" s="65" t="s">
        <v>487</v>
      </c>
    </row>
    <row r="4" spans="2:12" x14ac:dyDescent="0.25">
      <c r="B4" s="65" t="s">
        <v>82</v>
      </c>
    </row>
    <row r="5" spans="2:12" x14ac:dyDescent="0.25">
      <c r="B5" s="65" t="s">
        <v>83</v>
      </c>
    </row>
    <row r="6" spans="2:12" ht="26.25" x14ac:dyDescent="0.4">
      <c r="B6" s="228"/>
      <c r="E6" s="227"/>
    </row>
    <row r="7" spans="2:12" ht="38.25" x14ac:dyDescent="0.25">
      <c r="B7" s="231" t="s">
        <v>44</v>
      </c>
      <c r="C7" s="231" t="s">
        <v>501</v>
      </c>
      <c r="D7" s="231" t="s">
        <v>500</v>
      </c>
      <c r="E7" s="231" t="s">
        <v>507</v>
      </c>
      <c r="F7" s="231" t="s">
        <v>523</v>
      </c>
      <c r="G7" s="231" t="s">
        <v>524</v>
      </c>
      <c r="H7" s="231" t="s">
        <v>489</v>
      </c>
      <c r="I7" s="231" t="s">
        <v>502</v>
      </c>
      <c r="J7" s="231" t="s">
        <v>503</v>
      </c>
      <c r="K7" s="231" t="s">
        <v>504</v>
      </c>
      <c r="L7" s="231" t="s">
        <v>505</v>
      </c>
    </row>
    <row r="8" spans="2:12" ht="25.5" x14ac:dyDescent="0.25">
      <c r="B8" s="68" t="s">
        <v>514</v>
      </c>
      <c r="C8" s="68" t="s">
        <v>89</v>
      </c>
      <c r="D8" s="68">
        <v>184.48</v>
      </c>
      <c r="E8" s="68">
        <v>594.86</v>
      </c>
      <c r="F8" s="219">
        <f>(D8+E8)*1.03/2</f>
        <v>401.36010000000005</v>
      </c>
      <c r="G8" s="219">
        <f>F8*1.03</f>
        <v>413.40090300000008</v>
      </c>
      <c r="H8" s="218" t="s">
        <v>488</v>
      </c>
      <c r="I8" s="229"/>
      <c r="J8" s="229"/>
      <c r="K8" s="226"/>
      <c r="L8" s="226"/>
    </row>
    <row r="9" spans="2:12" ht="21" customHeight="1" x14ac:dyDescent="0.25">
      <c r="B9" s="68" t="s">
        <v>515</v>
      </c>
      <c r="C9" s="68" t="s">
        <v>508</v>
      </c>
      <c r="D9" s="68">
        <v>92.48</v>
      </c>
      <c r="E9" s="68">
        <v>349.02</v>
      </c>
      <c r="F9" s="219">
        <f>(D9+E9)*1.03/2</f>
        <v>227.3725</v>
      </c>
      <c r="G9" s="219">
        <f t="shared" ref="G9:G12" si="0">F9*1.03</f>
        <v>234.19367500000001</v>
      </c>
      <c r="H9" s="218" t="s">
        <v>488</v>
      </c>
      <c r="I9" s="229"/>
      <c r="J9" s="229"/>
      <c r="K9" s="226"/>
      <c r="L9" s="226"/>
    </row>
    <row r="10" spans="2:12" ht="33.75" customHeight="1" x14ac:dyDescent="0.25">
      <c r="B10" s="68" t="s">
        <v>31</v>
      </c>
      <c r="C10" s="68" t="s">
        <v>509</v>
      </c>
      <c r="D10" s="68">
        <f>72.72-D12</f>
        <v>52.06</v>
      </c>
      <c r="E10" s="68">
        <f>258.06-E12</f>
        <v>184.9</v>
      </c>
      <c r="F10" s="219">
        <f>(D10+E10)*1.03/2</f>
        <v>122.03440000000001</v>
      </c>
      <c r="G10" s="219">
        <f t="shared" si="0"/>
        <v>125.69543200000001</v>
      </c>
      <c r="H10" s="218" t="s">
        <v>488</v>
      </c>
      <c r="I10" s="229"/>
      <c r="J10" s="229"/>
      <c r="K10" s="226"/>
      <c r="L10" s="226"/>
    </row>
    <row r="11" spans="2:12" ht="21.75" customHeight="1" x14ac:dyDescent="0.25">
      <c r="B11" s="68" t="s">
        <v>516</v>
      </c>
      <c r="C11" s="68" t="s">
        <v>91</v>
      </c>
      <c r="D11" s="68">
        <v>5.4</v>
      </c>
      <c r="E11" s="68">
        <v>20.46</v>
      </c>
      <c r="F11" s="219">
        <f>(D11+E11)*1.03/2</f>
        <v>13.3179</v>
      </c>
      <c r="G11" s="219">
        <f t="shared" si="0"/>
        <v>13.717437</v>
      </c>
      <c r="H11" s="218" t="s">
        <v>488</v>
      </c>
      <c r="I11" s="229"/>
      <c r="J11" s="229"/>
      <c r="K11" s="226"/>
      <c r="L11" s="226"/>
    </row>
    <row r="12" spans="2:12" ht="21" customHeight="1" x14ac:dyDescent="0.25">
      <c r="B12" s="68" t="s">
        <v>117</v>
      </c>
      <c r="C12" s="68" t="s">
        <v>92</v>
      </c>
      <c r="D12" s="68">
        <v>20.66</v>
      </c>
      <c r="E12" s="68">
        <v>73.16</v>
      </c>
      <c r="F12" s="219">
        <f>(D12+E12)*1.03/2</f>
        <v>48.317299999999996</v>
      </c>
      <c r="G12" s="219">
        <f t="shared" si="0"/>
        <v>49.766818999999998</v>
      </c>
      <c r="H12" s="218" t="s">
        <v>488</v>
      </c>
      <c r="I12" s="229"/>
      <c r="J12" s="229"/>
      <c r="K12" s="226"/>
      <c r="L12" s="226"/>
    </row>
    <row r="13" spans="2:12" ht="62.25" customHeight="1" x14ac:dyDescent="0.25">
      <c r="B13" s="68"/>
      <c r="C13" s="68" t="s">
        <v>522</v>
      </c>
      <c r="D13" s="68"/>
      <c r="E13" s="68"/>
      <c r="F13" s="220">
        <v>4750</v>
      </c>
      <c r="G13" s="220">
        <v>4750</v>
      </c>
      <c r="H13" s="221" t="s">
        <v>490</v>
      </c>
      <c r="I13" s="229"/>
      <c r="J13" s="229"/>
      <c r="K13" s="226"/>
      <c r="L13" s="226"/>
    </row>
    <row r="14" spans="2:12" ht="78.75" customHeight="1" x14ac:dyDescent="0.25">
      <c r="B14" s="68"/>
      <c r="C14" s="68" t="s">
        <v>521</v>
      </c>
      <c r="D14" s="68"/>
      <c r="E14" s="68"/>
      <c r="F14" s="220">
        <v>39032</v>
      </c>
      <c r="G14" s="220">
        <v>0</v>
      </c>
      <c r="H14" s="221" t="s">
        <v>490</v>
      </c>
      <c r="I14" s="229"/>
      <c r="J14" s="229"/>
      <c r="K14" s="226"/>
      <c r="L14" s="226"/>
    </row>
    <row r="15" spans="2:12" ht="81" customHeight="1" x14ac:dyDescent="0.25">
      <c r="B15" s="68"/>
      <c r="C15" s="68" t="s">
        <v>520</v>
      </c>
      <c r="D15" s="68"/>
      <c r="E15" s="68"/>
      <c r="F15" s="220">
        <v>113</v>
      </c>
      <c r="G15" s="220">
        <v>0</v>
      </c>
      <c r="H15" s="67" t="s">
        <v>491</v>
      </c>
      <c r="I15" s="229"/>
      <c r="J15" s="229"/>
      <c r="K15" s="226"/>
      <c r="L15" s="226"/>
    </row>
    <row r="16" spans="2:12" ht="75" customHeight="1" x14ac:dyDescent="0.25">
      <c r="B16" s="68"/>
      <c r="C16" s="68" t="s">
        <v>506</v>
      </c>
      <c r="D16" s="68"/>
      <c r="E16" s="68"/>
      <c r="F16" s="220">
        <v>1202</v>
      </c>
      <c r="G16" s="220">
        <v>1202</v>
      </c>
      <c r="H16" s="67" t="s">
        <v>491</v>
      </c>
      <c r="I16" s="229"/>
      <c r="J16" s="229"/>
      <c r="K16" s="226"/>
      <c r="L16" s="226"/>
    </row>
    <row r="17" spans="2:12" ht="27.75" customHeight="1" x14ac:dyDescent="0.25">
      <c r="C17" s="75" t="s">
        <v>106</v>
      </c>
      <c r="D17" s="225"/>
      <c r="E17" s="225"/>
      <c r="H17" s="50"/>
      <c r="I17" s="50"/>
      <c r="J17" s="50"/>
      <c r="K17" s="230"/>
      <c r="L17" s="230"/>
    </row>
    <row r="18" spans="2:12" ht="33.75" customHeight="1" x14ac:dyDescent="0.25">
      <c r="C18" s="75" t="s">
        <v>107</v>
      </c>
      <c r="D18" s="225"/>
      <c r="E18" s="225"/>
      <c r="H18" s="234"/>
      <c r="I18" s="234"/>
      <c r="J18" s="234"/>
      <c r="K18" s="237"/>
      <c r="L18" s="237"/>
    </row>
    <row r="19" spans="2:12" ht="33.75" customHeight="1" x14ac:dyDescent="0.25">
      <c r="C19" s="225"/>
      <c r="D19" s="225"/>
      <c r="E19" s="225"/>
      <c r="H19" s="233"/>
      <c r="I19" s="233"/>
      <c r="J19" s="233"/>
      <c r="K19" s="233"/>
      <c r="L19" s="233"/>
    </row>
    <row r="20" spans="2:12" ht="18.75" customHeight="1" x14ac:dyDescent="0.25">
      <c r="B20" s="64" t="s">
        <v>527</v>
      </c>
    </row>
    <row r="21" spans="2:12" ht="20.25" customHeight="1" x14ac:dyDescent="0.25">
      <c r="B21" s="65" t="s">
        <v>81</v>
      </c>
    </row>
    <row r="22" spans="2:12" ht="20.25" customHeight="1" x14ac:dyDescent="0.25">
      <c r="B22" s="65" t="s">
        <v>487</v>
      </c>
    </row>
    <row r="23" spans="2:12" ht="19.5" customHeight="1" x14ac:dyDescent="0.25">
      <c r="B23" s="65" t="s">
        <v>82</v>
      </c>
    </row>
    <row r="24" spans="2:12" ht="18" customHeight="1" x14ac:dyDescent="0.25">
      <c r="B24" s="65" t="s">
        <v>83</v>
      </c>
    </row>
    <row r="25" spans="2:12" ht="33.75" customHeight="1" x14ac:dyDescent="0.4">
      <c r="B25" s="228"/>
      <c r="E25" s="227"/>
    </row>
    <row r="26" spans="2:12" ht="45" customHeight="1" x14ac:dyDescent="0.25">
      <c r="B26" s="231" t="s">
        <v>44</v>
      </c>
      <c r="C26" s="231" t="s">
        <v>535</v>
      </c>
      <c r="D26" s="231" t="s">
        <v>500</v>
      </c>
      <c r="E26" s="231" t="s">
        <v>507</v>
      </c>
      <c r="F26" s="231" t="s">
        <v>528</v>
      </c>
      <c r="G26" s="231" t="s">
        <v>489</v>
      </c>
      <c r="H26" s="231" t="s">
        <v>502</v>
      </c>
      <c r="I26" s="231" t="s">
        <v>504</v>
      </c>
    </row>
    <row r="27" spans="2:12" ht="33.75" customHeight="1" x14ac:dyDescent="0.25">
      <c r="B27" s="68" t="s">
        <v>8</v>
      </c>
      <c r="C27" s="68" t="s">
        <v>50</v>
      </c>
      <c r="D27" s="68">
        <v>29.58</v>
      </c>
      <c r="E27" s="68">
        <v>45.06</v>
      </c>
      <c r="F27" s="219">
        <f>E27*1.03</f>
        <v>46.411800000000007</v>
      </c>
      <c r="G27" s="218" t="s">
        <v>488</v>
      </c>
      <c r="H27" s="229"/>
      <c r="I27" s="226"/>
    </row>
    <row r="28" spans="2:12" ht="45" customHeight="1" x14ac:dyDescent="0.25">
      <c r="B28" s="68" t="s">
        <v>517</v>
      </c>
      <c r="C28" s="68" t="s">
        <v>510</v>
      </c>
      <c r="D28" s="68">
        <v>9.32</v>
      </c>
      <c r="E28" s="68">
        <v>6.38</v>
      </c>
      <c r="F28" s="219">
        <f>E28*1.03</f>
        <v>6.5713999999999997</v>
      </c>
      <c r="G28" s="218" t="s">
        <v>488</v>
      </c>
      <c r="H28" s="229"/>
      <c r="I28" s="226"/>
    </row>
    <row r="29" spans="2:12" ht="33.75" customHeight="1" x14ac:dyDescent="0.25">
      <c r="B29" s="68" t="s">
        <v>11</v>
      </c>
      <c r="C29" s="68" t="s">
        <v>119</v>
      </c>
      <c r="D29" s="68">
        <v>7.96</v>
      </c>
      <c r="E29" s="68">
        <v>8.14</v>
      </c>
      <c r="F29" s="219">
        <f>E29*1.03</f>
        <v>8.3842000000000017</v>
      </c>
      <c r="G29" s="218" t="s">
        <v>488</v>
      </c>
      <c r="H29" s="229"/>
      <c r="I29" s="226"/>
    </row>
    <row r="30" spans="2:12" ht="33.75" customHeight="1" x14ac:dyDescent="0.25">
      <c r="B30" s="68" t="s">
        <v>518</v>
      </c>
      <c r="C30" s="68" t="s">
        <v>511</v>
      </c>
      <c r="D30" s="68">
        <v>0</v>
      </c>
      <c r="E30" s="68">
        <v>0</v>
      </c>
      <c r="F30" s="219">
        <f>0.01</f>
        <v>0.01</v>
      </c>
      <c r="G30" s="218" t="s">
        <v>488</v>
      </c>
      <c r="H30" s="229"/>
      <c r="I30" s="226"/>
    </row>
    <row r="31" spans="2:12" ht="33.75" customHeight="1" x14ac:dyDescent="0.25">
      <c r="B31" s="68" t="s">
        <v>499</v>
      </c>
      <c r="C31" s="68" t="s">
        <v>512</v>
      </c>
      <c r="D31" s="68">
        <v>0</v>
      </c>
      <c r="E31" s="68">
        <v>0</v>
      </c>
      <c r="F31" s="219">
        <f t="shared" ref="F31:F32" si="1">0.01</f>
        <v>0.01</v>
      </c>
      <c r="G31" s="218" t="s">
        <v>488</v>
      </c>
      <c r="H31" s="229"/>
      <c r="I31" s="226"/>
    </row>
    <row r="32" spans="2:12" ht="33.75" customHeight="1" x14ac:dyDescent="0.25">
      <c r="B32" s="68" t="s">
        <v>519</v>
      </c>
      <c r="C32" s="68" t="s">
        <v>513</v>
      </c>
      <c r="D32" s="68">
        <v>0</v>
      </c>
      <c r="E32" s="68">
        <v>0</v>
      </c>
      <c r="F32" s="219">
        <f t="shared" si="1"/>
        <v>0.01</v>
      </c>
      <c r="G32" s="218" t="s">
        <v>488</v>
      </c>
      <c r="H32" s="229"/>
      <c r="I32" s="226"/>
    </row>
    <row r="33" spans="2:12" ht="21.75" customHeight="1" x14ac:dyDescent="0.25">
      <c r="B33" s="236" t="s">
        <v>107</v>
      </c>
      <c r="C33" s="236"/>
      <c r="D33" s="236"/>
      <c r="E33" s="236"/>
      <c r="F33" s="236"/>
      <c r="G33" s="236"/>
      <c r="H33" s="236"/>
      <c r="I33" s="230"/>
      <c r="J33" s="233"/>
      <c r="L33" s="233"/>
    </row>
    <row r="34" spans="2:12" x14ac:dyDescent="0.25">
      <c r="L34" s="233"/>
    </row>
    <row r="35" spans="2:12" x14ac:dyDescent="0.25">
      <c r="B35" s="64" t="s">
        <v>529</v>
      </c>
    </row>
    <row r="36" spans="2:12" x14ac:dyDescent="0.25">
      <c r="B36" s="65" t="s">
        <v>81</v>
      </c>
    </row>
    <row r="37" spans="2:12" x14ac:dyDescent="0.25">
      <c r="B37" s="65" t="s">
        <v>487</v>
      </c>
    </row>
    <row r="38" spans="2:12" x14ac:dyDescent="0.25">
      <c r="B38" s="65" t="s">
        <v>82</v>
      </c>
    </row>
    <row r="39" spans="2:12" x14ac:dyDescent="0.25">
      <c r="B39" s="65" t="s">
        <v>83</v>
      </c>
    </row>
    <row r="40" spans="2:12" ht="26.25" x14ac:dyDescent="0.4">
      <c r="B40" s="228"/>
      <c r="E40" s="227"/>
    </row>
    <row r="41" spans="2:12" ht="38.25" x14ac:dyDescent="0.25">
      <c r="B41" s="231" t="s">
        <v>44</v>
      </c>
      <c r="C41" s="231" t="s">
        <v>501</v>
      </c>
      <c r="D41" s="231" t="s">
        <v>500</v>
      </c>
      <c r="E41" s="231" t="s">
        <v>507</v>
      </c>
      <c r="F41" s="231" t="s">
        <v>523</v>
      </c>
      <c r="G41" s="231" t="s">
        <v>524</v>
      </c>
      <c r="H41" s="231" t="s">
        <v>489</v>
      </c>
      <c r="I41" s="231" t="s">
        <v>502</v>
      </c>
      <c r="J41" s="231" t="s">
        <v>503</v>
      </c>
      <c r="K41" s="231" t="s">
        <v>504</v>
      </c>
      <c r="L41" s="231" t="s">
        <v>505</v>
      </c>
    </row>
    <row r="42" spans="2:12" ht="25.5" x14ac:dyDescent="0.25">
      <c r="B42" s="68" t="s">
        <v>514</v>
      </c>
      <c r="C42" s="68" t="s">
        <v>89</v>
      </c>
      <c r="D42" s="68">
        <v>132.38</v>
      </c>
      <c r="E42" s="68">
        <v>461.06</v>
      </c>
      <c r="F42" s="219">
        <f>(D42+E42)*1.03/2</f>
        <v>305.62160000000006</v>
      </c>
      <c r="G42" s="219">
        <f>F42*1.03</f>
        <v>314.79024800000008</v>
      </c>
      <c r="H42" s="218" t="s">
        <v>488</v>
      </c>
      <c r="I42" s="229"/>
      <c r="J42" s="229"/>
      <c r="K42" s="226"/>
      <c r="L42" s="226"/>
    </row>
    <row r="43" spans="2:12" ht="22.5" customHeight="1" x14ac:dyDescent="0.25">
      <c r="B43" s="68" t="s">
        <v>515</v>
      </c>
      <c r="C43" s="68" t="s">
        <v>508</v>
      </c>
      <c r="D43" s="68">
        <v>51.7</v>
      </c>
      <c r="E43" s="68">
        <v>171.2</v>
      </c>
      <c r="F43" s="219">
        <f>(D43+E43)*1.03/2</f>
        <v>114.79349999999999</v>
      </c>
      <c r="G43" s="219">
        <f t="shared" ref="G43:G46" si="2">F43*1.03</f>
        <v>118.23730499999999</v>
      </c>
      <c r="H43" s="218" t="s">
        <v>488</v>
      </c>
      <c r="I43" s="229"/>
      <c r="J43" s="229"/>
      <c r="K43" s="226"/>
      <c r="L43" s="226"/>
    </row>
    <row r="44" spans="2:12" ht="25.5" x14ac:dyDescent="0.25">
      <c r="B44" s="68" t="s">
        <v>31</v>
      </c>
      <c r="C44" s="68" t="s">
        <v>509</v>
      </c>
      <c r="D44" s="68">
        <f>57.62-D46</f>
        <v>39.56</v>
      </c>
      <c r="E44" s="68">
        <f>169.2-E46</f>
        <v>114.39999999999999</v>
      </c>
      <c r="F44" s="219">
        <f>(D44+E44)*1.03/2</f>
        <v>79.289399999999986</v>
      </c>
      <c r="G44" s="219">
        <f t="shared" si="2"/>
        <v>81.668081999999984</v>
      </c>
      <c r="H44" s="218" t="s">
        <v>488</v>
      </c>
      <c r="I44" s="229"/>
      <c r="J44" s="229"/>
      <c r="K44" s="226"/>
      <c r="L44" s="226"/>
    </row>
    <row r="45" spans="2:12" ht="18.75" customHeight="1" x14ac:dyDescent="0.25">
      <c r="B45" s="68" t="s">
        <v>516</v>
      </c>
      <c r="C45" s="68" t="s">
        <v>91</v>
      </c>
      <c r="D45" s="68">
        <v>3.78</v>
      </c>
      <c r="E45" s="68">
        <v>11.42</v>
      </c>
      <c r="F45" s="219">
        <f>(D45+E45)*1.03/2</f>
        <v>7.8279999999999994</v>
      </c>
      <c r="G45" s="219">
        <f t="shared" si="2"/>
        <v>8.0628399999999996</v>
      </c>
      <c r="H45" s="218" t="s">
        <v>488</v>
      </c>
      <c r="I45" s="229"/>
      <c r="J45" s="229"/>
      <c r="K45" s="226"/>
      <c r="L45" s="226"/>
    </row>
    <row r="46" spans="2:12" ht="18" customHeight="1" x14ac:dyDescent="0.25">
      <c r="B46" s="68" t="s">
        <v>117</v>
      </c>
      <c r="C46" s="68" t="s">
        <v>92</v>
      </c>
      <c r="D46" s="68">
        <v>18.059999999999999</v>
      </c>
      <c r="E46" s="68">
        <v>54.8</v>
      </c>
      <c r="F46" s="219">
        <f>(D46+E46)*1.03/2</f>
        <v>37.5229</v>
      </c>
      <c r="G46" s="219">
        <f t="shared" si="2"/>
        <v>38.648586999999999</v>
      </c>
      <c r="H46" s="218" t="s">
        <v>488</v>
      </c>
      <c r="I46" s="229"/>
      <c r="J46" s="229"/>
      <c r="K46" s="226"/>
      <c r="L46" s="226"/>
    </row>
    <row r="47" spans="2:12" ht="64.5" customHeight="1" x14ac:dyDescent="0.25">
      <c r="B47" s="68"/>
      <c r="C47" s="68" t="s">
        <v>522</v>
      </c>
      <c r="D47" s="68"/>
      <c r="E47" s="68"/>
      <c r="F47" s="220">
        <v>1250</v>
      </c>
      <c r="G47" s="220">
        <v>1250</v>
      </c>
      <c r="H47" s="221" t="s">
        <v>490</v>
      </c>
      <c r="I47" s="229"/>
      <c r="J47" s="229"/>
      <c r="K47" s="226"/>
      <c r="L47" s="226"/>
    </row>
    <row r="48" spans="2:12" ht="88.5" customHeight="1" x14ac:dyDescent="0.25">
      <c r="B48" s="68"/>
      <c r="C48" s="68" t="s">
        <v>521</v>
      </c>
      <c r="D48" s="68"/>
      <c r="E48" s="68"/>
      <c r="F48" s="220">
        <v>26962</v>
      </c>
      <c r="G48" s="220">
        <v>0</v>
      </c>
      <c r="H48" s="221" t="s">
        <v>490</v>
      </c>
      <c r="I48" s="229"/>
      <c r="J48" s="229"/>
      <c r="K48" s="226"/>
      <c r="L48" s="226"/>
    </row>
    <row r="49" spans="2:12" ht="111.75" customHeight="1" x14ac:dyDescent="0.25">
      <c r="B49" s="68"/>
      <c r="C49" s="68" t="s">
        <v>520</v>
      </c>
      <c r="D49" s="68"/>
      <c r="E49" s="68"/>
      <c r="F49" s="220">
        <v>98</v>
      </c>
      <c r="G49" s="220">
        <v>0</v>
      </c>
      <c r="H49" s="67" t="s">
        <v>491</v>
      </c>
      <c r="I49" s="229"/>
      <c r="J49" s="229"/>
      <c r="K49" s="226"/>
      <c r="L49" s="226"/>
    </row>
    <row r="50" spans="2:12" ht="71.25" customHeight="1" x14ac:dyDescent="0.25">
      <c r="B50" s="68"/>
      <c r="C50" s="68" t="s">
        <v>506</v>
      </c>
      <c r="D50" s="68"/>
      <c r="E50" s="68"/>
      <c r="F50" s="220">
        <v>885</v>
      </c>
      <c r="G50" s="220">
        <v>885</v>
      </c>
      <c r="H50" s="67" t="s">
        <v>491</v>
      </c>
      <c r="I50" s="229"/>
      <c r="J50" s="229"/>
      <c r="K50" s="226"/>
      <c r="L50" s="226"/>
    </row>
    <row r="51" spans="2:12" ht="38.25" customHeight="1" x14ac:dyDescent="0.25">
      <c r="C51" s="75" t="s">
        <v>106</v>
      </c>
      <c r="D51" s="225"/>
      <c r="E51" s="225"/>
      <c r="H51" s="50"/>
      <c r="I51" s="50"/>
      <c r="J51" s="50"/>
      <c r="K51" s="230"/>
      <c r="L51" s="230"/>
    </row>
    <row r="52" spans="2:12" ht="33.75" customHeight="1" x14ac:dyDescent="0.25">
      <c r="C52" s="75" t="s">
        <v>107</v>
      </c>
      <c r="D52" s="225"/>
      <c r="E52" s="225"/>
      <c r="H52" s="234"/>
      <c r="I52" s="234"/>
      <c r="J52" s="234"/>
      <c r="K52" s="237"/>
      <c r="L52" s="237"/>
    </row>
    <row r="53" spans="2:12" ht="33.75" customHeight="1" x14ac:dyDescent="0.25">
      <c r="C53" s="225"/>
      <c r="D53" s="225"/>
      <c r="E53" s="225"/>
      <c r="H53" s="233"/>
      <c r="I53" s="233"/>
      <c r="J53" s="233"/>
      <c r="K53" s="233"/>
      <c r="L53" s="233"/>
    </row>
    <row r="54" spans="2:12" ht="21.75" customHeight="1" x14ac:dyDescent="0.25">
      <c r="B54" s="64" t="s">
        <v>530</v>
      </c>
    </row>
    <row r="55" spans="2:12" ht="19.5" customHeight="1" x14ac:dyDescent="0.25">
      <c r="B55" s="65" t="s">
        <v>81</v>
      </c>
    </row>
    <row r="56" spans="2:12" ht="18" customHeight="1" x14ac:dyDescent="0.25">
      <c r="B56" s="65" t="s">
        <v>487</v>
      </c>
    </row>
    <row r="57" spans="2:12" ht="16.5" customHeight="1" x14ac:dyDescent="0.25">
      <c r="B57" s="65" t="s">
        <v>82</v>
      </c>
    </row>
    <row r="58" spans="2:12" ht="15" customHeight="1" x14ac:dyDescent="0.25">
      <c r="B58" s="65" t="s">
        <v>83</v>
      </c>
    </row>
    <row r="59" spans="2:12" ht="33.75" customHeight="1" x14ac:dyDescent="0.4">
      <c r="B59" s="228"/>
      <c r="E59" s="227"/>
    </row>
    <row r="60" spans="2:12" ht="48" customHeight="1" x14ac:dyDescent="0.25">
      <c r="B60" s="231" t="s">
        <v>44</v>
      </c>
      <c r="C60" s="231" t="s">
        <v>535</v>
      </c>
      <c r="D60" s="231" t="s">
        <v>500</v>
      </c>
      <c r="E60" s="231" t="s">
        <v>507</v>
      </c>
      <c r="F60" s="231" t="s">
        <v>528</v>
      </c>
      <c r="G60" s="231" t="s">
        <v>489</v>
      </c>
      <c r="H60" s="231" t="s">
        <v>502</v>
      </c>
      <c r="I60" s="231" t="s">
        <v>504</v>
      </c>
    </row>
    <row r="61" spans="2:12" ht="33.75" customHeight="1" x14ac:dyDescent="0.25">
      <c r="B61" s="68" t="s">
        <v>8</v>
      </c>
      <c r="C61" s="68" t="s">
        <v>50</v>
      </c>
      <c r="D61" s="68">
        <v>31.36</v>
      </c>
      <c r="E61" s="68">
        <v>18.440000000000001</v>
      </c>
      <c r="F61" s="219">
        <f>E61*1.03</f>
        <v>18.993200000000002</v>
      </c>
      <c r="G61" s="218" t="s">
        <v>488</v>
      </c>
      <c r="H61" s="229"/>
      <c r="I61" s="226"/>
    </row>
    <row r="62" spans="2:12" ht="45" customHeight="1" x14ac:dyDescent="0.25">
      <c r="B62" s="68" t="s">
        <v>517</v>
      </c>
      <c r="C62" s="68" t="s">
        <v>510</v>
      </c>
      <c r="D62" s="68">
        <v>12.058999999999999</v>
      </c>
      <c r="E62" s="68">
        <v>4.82</v>
      </c>
      <c r="F62" s="219">
        <f t="shared" ref="F62:F63" si="3">E62*1.03</f>
        <v>4.9646000000000008</v>
      </c>
      <c r="G62" s="218" t="s">
        <v>488</v>
      </c>
      <c r="H62" s="229"/>
      <c r="I62" s="226"/>
    </row>
    <row r="63" spans="2:12" ht="33.75" customHeight="1" x14ac:dyDescent="0.25">
      <c r="B63" s="68" t="s">
        <v>11</v>
      </c>
      <c r="C63" s="68" t="s">
        <v>119</v>
      </c>
      <c r="D63" s="68">
        <v>11.46</v>
      </c>
      <c r="E63" s="68">
        <v>6.5</v>
      </c>
      <c r="F63" s="219">
        <f t="shared" si="3"/>
        <v>6.6950000000000003</v>
      </c>
      <c r="G63" s="218" t="s">
        <v>488</v>
      </c>
      <c r="H63" s="229"/>
      <c r="I63" s="226"/>
    </row>
    <row r="64" spans="2:12" ht="33.75" customHeight="1" x14ac:dyDescent="0.25">
      <c r="B64" s="68" t="s">
        <v>518</v>
      </c>
      <c r="C64" s="68" t="s">
        <v>511</v>
      </c>
      <c r="D64" s="68">
        <v>0</v>
      </c>
      <c r="E64" s="68">
        <v>0</v>
      </c>
      <c r="F64" s="219">
        <v>0.01</v>
      </c>
      <c r="G64" s="218" t="s">
        <v>488</v>
      </c>
      <c r="H64" s="229"/>
      <c r="I64" s="226"/>
    </row>
    <row r="65" spans="2:12" ht="33.75" customHeight="1" x14ac:dyDescent="0.25">
      <c r="B65" s="68" t="s">
        <v>499</v>
      </c>
      <c r="C65" s="68" t="s">
        <v>512</v>
      </c>
      <c r="D65" s="68">
        <v>0.79500000000000004</v>
      </c>
      <c r="E65" s="68">
        <v>0.48</v>
      </c>
      <c r="F65" s="219">
        <f>E65*1.03</f>
        <v>0.49440000000000001</v>
      </c>
      <c r="G65" s="218" t="s">
        <v>488</v>
      </c>
      <c r="H65" s="229"/>
      <c r="I65" s="226"/>
    </row>
    <row r="66" spans="2:12" ht="33.75" customHeight="1" x14ac:dyDescent="0.25">
      <c r="B66" s="68" t="s">
        <v>519</v>
      </c>
      <c r="C66" s="68" t="s">
        <v>513</v>
      </c>
      <c r="D66" s="68">
        <v>4.2000000000000003E-2</v>
      </c>
      <c r="E66" s="68">
        <v>0</v>
      </c>
      <c r="F66" s="219">
        <v>0.01</v>
      </c>
      <c r="G66" s="218" t="s">
        <v>488</v>
      </c>
      <c r="H66" s="229"/>
      <c r="I66" s="226"/>
    </row>
    <row r="67" spans="2:12" ht="33.75" customHeight="1" x14ac:dyDescent="0.25">
      <c r="B67" s="236" t="s">
        <v>107</v>
      </c>
      <c r="C67" s="236"/>
      <c r="D67" s="236"/>
      <c r="E67" s="236"/>
      <c r="F67" s="236"/>
      <c r="G67" s="236"/>
      <c r="H67" s="236"/>
      <c r="I67" s="230"/>
      <c r="J67" s="233"/>
      <c r="L67" s="233"/>
    </row>
    <row r="69" spans="2:12" x14ac:dyDescent="0.25">
      <c r="B69" s="64" t="s">
        <v>531</v>
      </c>
    </row>
    <row r="70" spans="2:12" x14ac:dyDescent="0.25">
      <c r="B70" s="65" t="s">
        <v>81</v>
      </c>
    </row>
    <row r="71" spans="2:12" x14ac:dyDescent="0.25">
      <c r="B71" s="65" t="s">
        <v>487</v>
      </c>
    </row>
    <row r="72" spans="2:12" x14ac:dyDescent="0.25">
      <c r="B72" s="65" t="s">
        <v>82</v>
      </c>
    </row>
    <row r="73" spans="2:12" x14ac:dyDescent="0.25">
      <c r="B73" s="65" t="s">
        <v>83</v>
      </c>
    </row>
    <row r="74" spans="2:12" ht="26.25" x14ac:dyDescent="0.4">
      <c r="B74" s="228"/>
      <c r="E74" s="227"/>
    </row>
    <row r="75" spans="2:12" ht="38.25" x14ac:dyDescent="0.25">
      <c r="B75" s="231" t="s">
        <v>44</v>
      </c>
      <c r="C75" s="231" t="s">
        <v>501</v>
      </c>
      <c r="D75" s="231" t="s">
        <v>500</v>
      </c>
      <c r="E75" s="231" t="s">
        <v>507</v>
      </c>
      <c r="F75" s="231" t="s">
        <v>523</v>
      </c>
      <c r="G75" s="231" t="s">
        <v>524</v>
      </c>
      <c r="H75" s="232" t="s">
        <v>489</v>
      </c>
      <c r="I75" s="231" t="s">
        <v>502</v>
      </c>
      <c r="J75" s="231" t="s">
        <v>503</v>
      </c>
      <c r="K75" s="231" t="s">
        <v>504</v>
      </c>
      <c r="L75" s="231" t="s">
        <v>505</v>
      </c>
    </row>
    <row r="76" spans="2:12" ht="25.5" x14ac:dyDescent="0.25">
      <c r="B76" s="68" t="s">
        <v>514</v>
      </c>
      <c r="C76" s="68" t="s">
        <v>89</v>
      </c>
      <c r="D76" s="68">
        <v>184.48</v>
      </c>
      <c r="E76" s="68">
        <v>570.9</v>
      </c>
      <c r="F76" s="219">
        <f>(D76+E76)*1.03/2</f>
        <v>389.02070000000003</v>
      </c>
      <c r="G76" s="219">
        <f>F76*1.03</f>
        <v>400.69132100000007</v>
      </c>
      <c r="H76" s="218" t="s">
        <v>488</v>
      </c>
      <c r="I76" s="229"/>
      <c r="J76" s="229"/>
      <c r="K76" s="226"/>
      <c r="L76" s="226"/>
    </row>
    <row r="77" spans="2:12" ht="19.5" customHeight="1" x14ac:dyDescent="0.25">
      <c r="B77" s="68" t="s">
        <v>515</v>
      </c>
      <c r="C77" s="68" t="s">
        <v>508</v>
      </c>
      <c r="D77" s="68">
        <v>92.48</v>
      </c>
      <c r="E77" s="68">
        <v>377.68</v>
      </c>
      <c r="F77" s="219">
        <f>(D77+E77)*1.03/2</f>
        <v>242.13240000000002</v>
      </c>
      <c r="G77" s="219">
        <f t="shared" ref="G77:G80" si="4">F77*1.03</f>
        <v>249.39637200000001</v>
      </c>
      <c r="H77" s="218" t="s">
        <v>488</v>
      </c>
      <c r="I77" s="229"/>
      <c r="J77" s="229"/>
      <c r="K77" s="226"/>
      <c r="L77" s="226"/>
    </row>
    <row r="78" spans="2:12" ht="25.5" x14ac:dyDescent="0.25">
      <c r="B78" s="68" t="s">
        <v>31</v>
      </c>
      <c r="C78" s="68" t="s">
        <v>509</v>
      </c>
      <c r="D78" s="68">
        <f>72.72-D80</f>
        <v>49.8</v>
      </c>
      <c r="E78" s="68">
        <f>250.04-E80</f>
        <v>175.76</v>
      </c>
      <c r="F78" s="219">
        <f>(D78+E78)*1.03/2</f>
        <v>116.16340000000001</v>
      </c>
      <c r="G78" s="219">
        <f t="shared" si="4"/>
        <v>119.64830200000002</v>
      </c>
      <c r="H78" s="218" t="s">
        <v>488</v>
      </c>
      <c r="I78" s="229"/>
      <c r="J78" s="229"/>
      <c r="K78" s="226"/>
      <c r="L78" s="226"/>
    </row>
    <row r="79" spans="2:12" ht="22.5" customHeight="1" x14ac:dyDescent="0.25">
      <c r="B79" s="68" t="s">
        <v>516</v>
      </c>
      <c r="C79" s="68" t="s">
        <v>91</v>
      </c>
      <c r="D79" s="68">
        <v>5.4</v>
      </c>
      <c r="E79" s="68">
        <v>18.100000000000001</v>
      </c>
      <c r="F79" s="219">
        <f>(D79+E79)*1.03/2</f>
        <v>12.102500000000001</v>
      </c>
      <c r="G79" s="219">
        <f t="shared" si="4"/>
        <v>12.465575000000001</v>
      </c>
      <c r="H79" s="218" t="s">
        <v>488</v>
      </c>
      <c r="I79" s="229"/>
      <c r="J79" s="229"/>
      <c r="K79" s="226"/>
      <c r="L79" s="226"/>
    </row>
    <row r="80" spans="2:12" ht="21.75" customHeight="1" x14ac:dyDescent="0.25">
      <c r="B80" s="68" t="s">
        <v>117</v>
      </c>
      <c r="C80" s="68" t="s">
        <v>92</v>
      </c>
      <c r="D80" s="68">
        <v>22.92</v>
      </c>
      <c r="E80" s="68">
        <v>74.28</v>
      </c>
      <c r="F80" s="219">
        <f>(D80+E80)*1.03/2</f>
        <v>50.058</v>
      </c>
      <c r="G80" s="219">
        <f t="shared" si="4"/>
        <v>51.559739999999998</v>
      </c>
      <c r="H80" s="218" t="s">
        <v>488</v>
      </c>
      <c r="I80" s="229"/>
      <c r="J80" s="229"/>
      <c r="K80" s="226"/>
      <c r="L80" s="226"/>
    </row>
    <row r="81" spans="2:12" ht="57" customHeight="1" x14ac:dyDescent="0.25">
      <c r="B81" s="68"/>
      <c r="C81" s="68" t="s">
        <v>522</v>
      </c>
      <c r="D81" s="68"/>
      <c r="E81" s="68"/>
      <c r="F81" s="220">
        <v>5250</v>
      </c>
      <c r="G81" s="220">
        <v>5250</v>
      </c>
      <c r="H81" s="221" t="s">
        <v>490</v>
      </c>
      <c r="I81" s="229"/>
      <c r="J81" s="229"/>
      <c r="K81" s="226"/>
      <c r="L81" s="226"/>
    </row>
    <row r="82" spans="2:12" ht="58.5" customHeight="1" x14ac:dyDescent="0.25">
      <c r="B82" s="68"/>
      <c r="C82" s="68" t="s">
        <v>521</v>
      </c>
      <c r="D82" s="68"/>
      <c r="E82" s="68"/>
      <c r="F82" s="220">
        <v>40528</v>
      </c>
      <c r="G82" s="220">
        <v>0</v>
      </c>
      <c r="H82" s="221" t="s">
        <v>490</v>
      </c>
      <c r="I82" s="229"/>
      <c r="J82" s="229"/>
      <c r="K82" s="226"/>
      <c r="L82" s="226"/>
    </row>
    <row r="83" spans="2:12" ht="83.25" customHeight="1" x14ac:dyDescent="0.25">
      <c r="B83" s="68"/>
      <c r="C83" s="68" t="s">
        <v>520</v>
      </c>
      <c r="D83" s="68"/>
      <c r="E83" s="68"/>
      <c r="F83" s="220">
        <v>70</v>
      </c>
      <c r="G83" s="220">
        <v>0</v>
      </c>
      <c r="H83" s="67" t="s">
        <v>491</v>
      </c>
      <c r="I83" s="229"/>
      <c r="J83" s="229"/>
      <c r="K83" s="226"/>
      <c r="L83" s="226"/>
    </row>
    <row r="84" spans="2:12" ht="63.75" customHeight="1" x14ac:dyDescent="0.25">
      <c r="B84" s="68"/>
      <c r="C84" s="68" t="s">
        <v>506</v>
      </c>
      <c r="D84" s="68"/>
      <c r="E84" s="68"/>
      <c r="F84" s="220">
        <v>1250</v>
      </c>
      <c r="G84" s="220">
        <v>1250</v>
      </c>
      <c r="H84" s="67" t="s">
        <v>491</v>
      </c>
      <c r="I84" s="229"/>
      <c r="J84" s="229"/>
      <c r="K84" s="226"/>
      <c r="L84" s="226"/>
    </row>
    <row r="85" spans="2:12" ht="34.5" customHeight="1" x14ac:dyDescent="0.25">
      <c r="C85" s="75" t="s">
        <v>106</v>
      </c>
      <c r="D85" s="225"/>
      <c r="E85" s="225"/>
      <c r="H85" s="50"/>
      <c r="I85" s="50"/>
      <c r="J85" s="50"/>
      <c r="K85" s="230"/>
      <c r="L85" s="230"/>
    </row>
    <row r="86" spans="2:12" ht="30" customHeight="1" x14ac:dyDescent="0.25">
      <c r="C86" s="75" t="s">
        <v>107</v>
      </c>
      <c r="D86" s="225"/>
      <c r="E86" s="225"/>
      <c r="H86" s="234"/>
      <c r="I86" s="234"/>
      <c r="J86" s="234"/>
      <c r="K86" s="237"/>
      <c r="L86" s="237"/>
    </row>
    <row r="87" spans="2:12" ht="30" customHeight="1" x14ac:dyDescent="0.25">
      <c r="C87" s="225"/>
      <c r="D87" s="225"/>
      <c r="E87" s="225"/>
      <c r="H87" s="233"/>
      <c r="I87" s="233"/>
      <c r="J87" s="233"/>
      <c r="K87" s="233"/>
      <c r="L87" s="233"/>
    </row>
    <row r="88" spans="2:12" ht="12" customHeight="1" x14ac:dyDescent="0.25">
      <c r="B88" s="64" t="s">
        <v>532</v>
      </c>
    </row>
    <row r="89" spans="2:12" ht="16.5" customHeight="1" x14ac:dyDescent="0.25">
      <c r="B89" s="65" t="s">
        <v>81</v>
      </c>
    </row>
    <row r="90" spans="2:12" ht="15.75" customHeight="1" x14ac:dyDescent="0.25">
      <c r="B90" s="65" t="s">
        <v>487</v>
      </c>
    </row>
    <row r="91" spans="2:12" ht="16.5" customHeight="1" x14ac:dyDescent="0.25">
      <c r="B91" s="65" t="s">
        <v>82</v>
      </c>
    </row>
    <row r="92" spans="2:12" ht="22.5" customHeight="1" x14ac:dyDescent="0.25">
      <c r="B92" s="65" t="s">
        <v>83</v>
      </c>
    </row>
    <row r="93" spans="2:12" ht="30" customHeight="1" x14ac:dyDescent="0.4">
      <c r="B93" s="228"/>
      <c r="E93" s="227"/>
    </row>
    <row r="94" spans="2:12" ht="43.5" customHeight="1" x14ac:dyDescent="0.25">
      <c r="B94" s="231" t="s">
        <v>44</v>
      </c>
      <c r="C94" s="231" t="s">
        <v>535</v>
      </c>
      <c r="D94" s="231" t="s">
        <v>500</v>
      </c>
      <c r="E94" s="231" t="s">
        <v>507</v>
      </c>
      <c r="F94" s="231" t="s">
        <v>528</v>
      </c>
      <c r="G94" s="231" t="s">
        <v>489</v>
      </c>
      <c r="H94" s="231" t="s">
        <v>502</v>
      </c>
      <c r="I94" s="231" t="s">
        <v>504</v>
      </c>
    </row>
    <row r="95" spans="2:12" ht="30" customHeight="1" x14ac:dyDescent="0.25">
      <c r="B95" s="68" t="s">
        <v>8</v>
      </c>
      <c r="C95" s="68" t="s">
        <v>50</v>
      </c>
      <c r="D95" s="68">
        <v>29.58</v>
      </c>
      <c r="E95" s="68">
        <v>45.72</v>
      </c>
      <c r="F95" s="219">
        <f>E95*1.03</f>
        <v>47.0916</v>
      </c>
      <c r="G95" s="218" t="s">
        <v>488</v>
      </c>
      <c r="H95" s="229"/>
      <c r="I95" s="226"/>
    </row>
    <row r="96" spans="2:12" ht="41.25" customHeight="1" x14ac:dyDescent="0.25">
      <c r="B96" s="68" t="s">
        <v>517</v>
      </c>
      <c r="C96" s="68" t="s">
        <v>510</v>
      </c>
      <c r="D96" s="68">
        <v>9.32</v>
      </c>
      <c r="E96" s="68">
        <v>5.48</v>
      </c>
      <c r="F96" s="219">
        <f t="shared" ref="F96:F97" si="5">E96*1.03</f>
        <v>5.644400000000001</v>
      </c>
      <c r="G96" s="218" t="s">
        <v>488</v>
      </c>
      <c r="H96" s="229"/>
      <c r="I96" s="226"/>
    </row>
    <row r="97" spans="2:12" ht="30" customHeight="1" x14ac:dyDescent="0.25">
      <c r="B97" s="68" t="s">
        <v>11</v>
      </c>
      <c r="C97" s="68" t="s">
        <v>119</v>
      </c>
      <c r="D97" s="68">
        <v>7.96</v>
      </c>
      <c r="E97" s="68">
        <v>10.42</v>
      </c>
      <c r="F97" s="219">
        <f t="shared" si="5"/>
        <v>10.7326</v>
      </c>
      <c r="G97" s="218" t="s">
        <v>488</v>
      </c>
      <c r="H97" s="229"/>
      <c r="I97" s="226"/>
    </row>
    <row r="98" spans="2:12" ht="30" customHeight="1" x14ac:dyDescent="0.25">
      <c r="B98" s="68" t="s">
        <v>518</v>
      </c>
      <c r="C98" s="68" t="s">
        <v>511</v>
      </c>
      <c r="D98" s="68">
        <v>0</v>
      </c>
      <c r="E98" s="68">
        <v>0</v>
      </c>
      <c r="F98" s="219">
        <f>0.01</f>
        <v>0.01</v>
      </c>
      <c r="G98" s="218" t="s">
        <v>488</v>
      </c>
      <c r="H98" s="229"/>
      <c r="I98" s="226"/>
    </row>
    <row r="99" spans="2:12" ht="30" customHeight="1" x14ac:dyDescent="0.25">
      <c r="B99" s="68" t="s">
        <v>499</v>
      </c>
      <c r="C99" s="68" t="s">
        <v>512</v>
      </c>
      <c r="D99" s="68">
        <v>0</v>
      </c>
      <c r="E99" s="68">
        <v>0</v>
      </c>
      <c r="F99" s="219">
        <f t="shared" ref="F99:F100" si="6">0.01</f>
        <v>0.01</v>
      </c>
      <c r="G99" s="218" t="s">
        <v>488</v>
      </c>
      <c r="H99" s="229"/>
      <c r="I99" s="226"/>
    </row>
    <row r="100" spans="2:12" ht="30" customHeight="1" x14ac:dyDescent="0.25">
      <c r="B100" s="68" t="s">
        <v>519</v>
      </c>
      <c r="C100" s="68" t="s">
        <v>513</v>
      </c>
      <c r="D100" s="68">
        <v>0</v>
      </c>
      <c r="E100" s="68">
        <v>0</v>
      </c>
      <c r="F100" s="219">
        <f t="shared" si="6"/>
        <v>0.01</v>
      </c>
      <c r="G100" s="218" t="s">
        <v>488</v>
      </c>
      <c r="H100" s="229"/>
      <c r="I100" s="226"/>
    </row>
    <row r="101" spans="2:12" ht="30" customHeight="1" x14ac:dyDescent="0.25">
      <c r="B101" s="236" t="s">
        <v>107</v>
      </c>
      <c r="C101" s="236"/>
      <c r="D101" s="236"/>
      <c r="E101" s="236"/>
      <c r="F101" s="236"/>
      <c r="G101" s="236"/>
      <c r="H101" s="236"/>
      <c r="I101" s="230"/>
      <c r="J101" s="233"/>
      <c r="L101" s="233"/>
    </row>
    <row r="102" spans="2:12" ht="30" customHeight="1" x14ac:dyDescent="0.25">
      <c r="C102" s="225"/>
      <c r="D102" s="225"/>
      <c r="E102" s="225"/>
      <c r="H102" s="233"/>
      <c r="I102" s="233"/>
      <c r="J102" s="233"/>
      <c r="K102" s="233"/>
      <c r="L102" s="233"/>
    </row>
    <row r="103" spans="2:12" x14ac:dyDescent="0.25">
      <c r="B103" s="64" t="s">
        <v>533</v>
      </c>
    </row>
    <row r="104" spans="2:12" x14ac:dyDescent="0.25">
      <c r="B104" s="65" t="s">
        <v>81</v>
      </c>
    </row>
    <row r="105" spans="2:12" x14ac:dyDescent="0.25">
      <c r="B105" s="65" t="s">
        <v>487</v>
      </c>
    </row>
    <row r="106" spans="2:12" x14ac:dyDescent="0.25">
      <c r="B106" s="65" t="s">
        <v>82</v>
      </c>
    </row>
    <row r="107" spans="2:12" x14ac:dyDescent="0.25">
      <c r="B107" s="65" t="s">
        <v>83</v>
      </c>
    </row>
    <row r="108" spans="2:12" ht="26.25" x14ac:dyDescent="0.4">
      <c r="B108" s="228"/>
      <c r="E108" s="227"/>
    </row>
    <row r="109" spans="2:12" ht="48.75" customHeight="1" x14ac:dyDescent="0.25">
      <c r="B109" s="231" t="s">
        <v>44</v>
      </c>
      <c r="C109" s="231" t="s">
        <v>501</v>
      </c>
      <c r="D109" s="231" t="s">
        <v>500</v>
      </c>
      <c r="E109" s="231" t="s">
        <v>507</v>
      </c>
      <c r="F109" s="231" t="s">
        <v>523</v>
      </c>
      <c r="G109" s="231" t="s">
        <v>524</v>
      </c>
      <c r="H109" s="232" t="s">
        <v>489</v>
      </c>
      <c r="I109" s="231" t="s">
        <v>502</v>
      </c>
      <c r="J109" s="231" t="s">
        <v>503</v>
      </c>
      <c r="K109" s="231" t="s">
        <v>504</v>
      </c>
      <c r="L109" s="231" t="s">
        <v>505</v>
      </c>
    </row>
    <row r="110" spans="2:12" ht="25.5" x14ac:dyDescent="0.25">
      <c r="B110" s="68" t="s">
        <v>514</v>
      </c>
      <c r="C110" s="68" t="s">
        <v>89</v>
      </c>
      <c r="D110" s="68">
        <v>115.3</v>
      </c>
      <c r="E110" s="68">
        <v>412.82</v>
      </c>
      <c r="F110" s="219">
        <f>(D110+E110)*1.03/2</f>
        <v>271.98180000000002</v>
      </c>
      <c r="G110" s="219">
        <f>F110*1.03</f>
        <v>280.141254</v>
      </c>
      <c r="H110" s="218" t="s">
        <v>488</v>
      </c>
      <c r="I110" s="229"/>
      <c r="J110" s="229"/>
      <c r="K110" s="226"/>
      <c r="L110" s="226"/>
    </row>
    <row r="111" spans="2:12" ht="19.5" customHeight="1" x14ac:dyDescent="0.25">
      <c r="B111" s="68" t="s">
        <v>515</v>
      </c>
      <c r="C111" s="68" t="s">
        <v>508</v>
      </c>
      <c r="D111" s="68">
        <v>49.52</v>
      </c>
      <c r="E111" s="68">
        <v>151.1</v>
      </c>
      <c r="F111" s="219">
        <f t="shared" ref="F111:F114" si="7">(D111+E111)*1.03/2</f>
        <v>103.3193</v>
      </c>
      <c r="G111" s="219">
        <f t="shared" ref="G111:G114" si="8">F111*1.03</f>
        <v>106.418879</v>
      </c>
      <c r="H111" s="218" t="s">
        <v>488</v>
      </c>
      <c r="I111" s="229"/>
      <c r="J111" s="229"/>
      <c r="K111" s="226"/>
      <c r="L111" s="226"/>
    </row>
    <row r="112" spans="2:12" ht="25.5" x14ac:dyDescent="0.25">
      <c r="B112" s="68" t="s">
        <v>31</v>
      </c>
      <c r="C112" s="68" t="s">
        <v>509</v>
      </c>
      <c r="D112" s="68">
        <f>53.2-D114</f>
        <v>36.120000000000005</v>
      </c>
      <c r="E112" s="68">
        <f>158.28-E114</f>
        <v>119.14</v>
      </c>
      <c r="F112" s="219">
        <f t="shared" si="7"/>
        <v>79.9589</v>
      </c>
      <c r="G112" s="219">
        <f t="shared" si="8"/>
        <v>82.357667000000006</v>
      </c>
      <c r="H112" s="218" t="s">
        <v>488</v>
      </c>
      <c r="I112" s="229"/>
      <c r="J112" s="229"/>
      <c r="K112" s="226"/>
      <c r="L112" s="226"/>
    </row>
    <row r="113" spans="2:12" ht="24.75" customHeight="1" x14ac:dyDescent="0.25">
      <c r="B113" s="68" t="s">
        <v>516</v>
      </c>
      <c r="C113" s="68" t="s">
        <v>91</v>
      </c>
      <c r="D113" s="68">
        <v>2.44</v>
      </c>
      <c r="E113" s="68">
        <v>8.98</v>
      </c>
      <c r="F113" s="219">
        <f t="shared" si="7"/>
        <v>5.8813000000000004</v>
      </c>
      <c r="G113" s="219">
        <f t="shared" si="8"/>
        <v>6.0577390000000007</v>
      </c>
      <c r="H113" s="218" t="s">
        <v>488</v>
      </c>
      <c r="I113" s="229"/>
      <c r="J113" s="229"/>
      <c r="K113" s="226"/>
      <c r="L113" s="226"/>
    </row>
    <row r="114" spans="2:12" ht="24.75" customHeight="1" x14ac:dyDescent="0.25">
      <c r="B114" s="68" t="s">
        <v>117</v>
      </c>
      <c r="C114" s="68" t="s">
        <v>92</v>
      </c>
      <c r="D114" s="68">
        <v>17.079999999999998</v>
      </c>
      <c r="E114" s="68">
        <v>39.14</v>
      </c>
      <c r="F114" s="219">
        <f t="shared" si="7"/>
        <v>28.953299999999999</v>
      </c>
      <c r="G114" s="219">
        <f t="shared" si="8"/>
        <v>29.821898999999998</v>
      </c>
      <c r="H114" s="218" t="s">
        <v>488</v>
      </c>
      <c r="I114" s="229"/>
      <c r="J114" s="229"/>
      <c r="K114" s="226"/>
      <c r="L114" s="226"/>
    </row>
    <row r="115" spans="2:12" ht="60.75" customHeight="1" x14ac:dyDescent="0.25">
      <c r="B115" s="68"/>
      <c r="C115" s="68" t="s">
        <v>522</v>
      </c>
      <c r="D115" s="68"/>
      <c r="E115" s="68"/>
      <c r="F115" s="220">
        <v>1250</v>
      </c>
      <c r="G115" s="220">
        <v>1250</v>
      </c>
      <c r="H115" s="221" t="s">
        <v>490</v>
      </c>
      <c r="I115" s="229"/>
      <c r="J115" s="229"/>
      <c r="K115" s="226"/>
      <c r="L115" s="226"/>
    </row>
    <row r="116" spans="2:12" ht="78.75" customHeight="1" x14ac:dyDescent="0.25">
      <c r="B116" s="68"/>
      <c r="C116" s="68" t="s">
        <v>521</v>
      </c>
      <c r="D116" s="68"/>
      <c r="E116" s="68"/>
      <c r="F116" s="220">
        <v>24140</v>
      </c>
      <c r="G116" s="220">
        <v>0</v>
      </c>
      <c r="H116" s="221" t="s">
        <v>490</v>
      </c>
      <c r="I116" s="229"/>
      <c r="J116" s="229"/>
      <c r="K116" s="226"/>
      <c r="L116" s="226"/>
    </row>
    <row r="117" spans="2:12" ht="119.25" customHeight="1" x14ac:dyDescent="0.25">
      <c r="B117" s="68"/>
      <c r="C117" s="68" t="s">
        <v>520</v>
      </c>
      <c r="D117" s="68"/>
      <c r="E117" s="68"/>
      <c r="F117" s="220">
        <v>81</v>
      </c>
      <c r="G117" s="220">
        <v>0</v>
      </c>
      <c r="H117" s="67" t="s">
        <v>491</v>
      </c>
      <c r="I117" s="229"/>
      <c r="J117" s="229"/>
      <c r="K117" s="226"/>
      <c r="L117" s="226"/>
    </row>
    <row r="118" spans="2:12" ht="82.5" customHeight="1" x14ac:dyDescent="0.25">
      <c r="B118" s="68"/>
      <c r="C118" s="68" t="s">
        <v>506</v>
      </c>
      <c r="D118" s="68"/>
      <c r="E118" s="68"/>
      <c r="F118" s="220">
        <v>826</v>
      </c>
      <c r="G118" s="220">
        <v>826</v>
      </c>
      <c r="H118" s="67" t="s">
        <v>491</v>
      </c>
      <c r="I118" s="229"/>
      <c r="J118" s="229"/>
      <c r="K118" s="226"/>
      <c r="L118" s="226"/>
    </row>
    <row r="119" spans="2:12" ht="42" customHeight="1" x14ac:dyDescent="0.25">
      <c r="C119" s="75" t="s">
        <v>106</v>
      </c>
      <c r="D119" s="225"/>
      <c r="E119" s="225"/>
      <c r="H119" s="50"/>
      <c r="I119" s="50"/>
      <c r="J119" s="50"/>
      <c r="K119" s="230"/>
      <c r="L119" s="230"/>
    </row>
    <row r="120" spans="2:12" ht="33.75" customHeight="1" x14ac:dyDescent="0.25">
      <c r="C120" s="75" t="s">
        <v>107</v>
      </c>
      <c r="D120" s="225"/>
      <c r="E120" s="225"/>
      <c r="H120" s="234"/>
      <c r="I120" s="234"/>
      <c r="J120" s="234"/>
      <c r="K120" s="237"/>
      <c r="L120" s="237"/>
    </row>
    <row r="122" spans="2:12" x14ac:dyDescent="0.25">
      <c r="B122" s="64" t="s">
        <v>534</v>
      </c>
    </row>
    <row r="123" spans="2:12" x14ac:dyDescent="0.25">
      <c r="B123" s="65" t="s">
        <v>81</v>
      </c>
    </row>
    <row r="124" spans="2:12" x14ac:dyDescent="0.25">
      <c r="B124" s="65" t="s">
        <v>487</v>
      </c>
    </row>
    <row r="125" spans="2:12" x14ac:dyDescent="0.25">
      <c r="B125" s="65" t="s">
        <v>82</v>
      </c>
    </row>
    <row r="126" spans="2:12" x14ac:dyDescent="0.25">
      <c r="B126" s="65" t="s">
        <v>83</v>
      </c>
    </row>
    <row r="127" spans="2:12" ht="26.25" x14ac:dyDescent="0.4">
      <c r="B127" s="228"/>
      <c r="E127" s="227"/>
    </row>
    <row r="128" spans="2:12" ht="45" customHeight="1" x14ac:dyDescent="0.25">
      <c r="B128" s="231" t="s">
        <v>44</v>
      </c>
      <c r="C128" s="231" t="s">
        <v>535</v>
      </c>
      <c r="D128" s="231" t="s">
        <v>500</v>
      </c>
      <c r="E128" s="231" t="s">
        <v>507</v>
      </c>
      <c r="F128" s="231" t="s">
        <v>528</v>
      </c>
      <c r="G128" s="231" t="s">
        <v>489</v>
      </c>
      <c r="H128" s="231" t="s">
        <v>502</v>
      </c>
      <c r="I128" s="231" t="s">
        <v>504</v>
      </c>
    </row>
    <row r="129" spans="2:12" x14ac:dyDescent="0.25">
      <c r="B129" s="68" t="s">
        <v>8</v>
      </c>
      <c r="C129" s="68" t="s">
        <v>50</v>
      </c>
      <c r="D129" s="68">
        <v>28.62</v>
      </c>
      <c r="E129" s="68">
        <v>26.4</v>
      </c>
      <c r="F129" s="219">
        <f>E129*1.03</f>
        <v>27.192</v>
      </c>
      <c r="G129" s="218" t="s">
        <v>488</v>
      </c>
      <c r="H129" s="229"/>
      <c r="I129" s="226"/>
    </row>
    <row r="130" spans="2:12" ht="43.5" customHeight="1" x14ac:dyDescent="0.25">
      <c r="B130" s="68" t="s">
        <v>517</v>
      </c>
      <c r="C130" s="68" t="s">
        <v>525</v>
      </c>
      <c r="D130" s="68">
        <v>10.9</v>
      </c>
      <c r="E130" s="68">
        <v>5.28</v>
      </c>
      <c r="F130" s="219">
        <f t="shared" ref="F130:F134" si="9">E130*1.03</f>
        <v>5.4384000000000006</v>
      </c>
      <c r="G130" s="218" t="s">
        <v>488</v>
      </c>
      <c r="H130" s="229"/>
      <c r="I130" s="226"/>
    </row>
    <row r="131" spans="2:12" x14ac:dyDescent="0.25">
      <c r="B131" s="68" t="s">
        <v>11</v>
      </c>
      <c r="C131" s="68" t="s">
        <v>119</v>
      </c>
      <c r="D131" s="68">
        <v>10.02</v>
      </c>
      <c r="E131" s="68">
        <v>7.1</v>
      </c>
      <c r="F131" s="219">
        <f t="shared" si="9"/>
        <v>7.3129999999999997</v>
      </c>
      <c r="G131" s="218" t="s">
        <v>488</v>
      </c>
      <c r="H131" s="229"/>
      <c r="I131" s="226"/>
    </row>
    <row r="132" spans="2:12" ht="34.5" customHeight="1" x14ac:dyDescent="0.25">
      <c r="B132" s="68" t="s">
        <v>518</v>
      </c>
      <c r="C132" s="68" t="s">
        <v>511</v>
      </c>
      <c r="D132" s="68">
        <v>0</v>
      </c>
      <c r="E132" s="68">
        <v>3.5000000000000003E-2</v>
      </c>
      <c r="F132" s="219">
        <f t="shared" si="9"/>
        <v>3.6050000000000006E-2</v>
      </c>
      <c r="G132" s="218" t="s">
        <v>488</v>
      </c>
      <c r="H132" s="229"/>
      <c r="I132" s="226"/>
    </row>
    <row r="133" spans="2:12" ht="31.5" customHeight="1" x14ac:dyDescent="0.25">
      <c r="B133" s="68" t="s">
        <v>499</v>
      </c>
      <c r="C133" s="68" t="s">
        <v>512</v>
      </c>
      <c r="D133" s="68">
        <v>1.06</v>
      </c>
      <c r="E133" s="68">
        <v>0.54</v>
      </c>
      <c r="F133" s="219">
        <f t="shared" si="9"/>
        <v>0.55620000000000003</v>
      </c>
      <c r="G133" s="218" t="s">
        <v>488</v>
      </c>
      <c r="H133" s="229"/>
      <c r="I133" s="226"/>
    </row>
    <row r="134" spans="2:12" ht="30" customHeight="1" x14ac:dyDescent="0.25">
      <c r="B134" s="68" t="s">
        <v>519</v>
      </c>
      <c r="C134" s="68" t="s">
        <v>513</v>
      </c>
      <c r="D134" s="68">
        <v>8.0000000000000002E-3</v>
      </c>
      <c r="E134" s="68">
        <v>4.8000000000000001E-2</v>
      </c>
      <c r="F134" s="219">
        <f t="shared" si="9"/>
        <v>4.9440000000000005E-2</v>
      </c>
      <c r="G134" s="218" t="s">
        <v>488</v>
      </c>
      <c r="H134" s="229"/>
      <c r="I134" s="226"/>
    </row>
    <row r="135" spans="2:12" x14ac:dyDescent="0.25">
      <c r="B135" s="236" t="s">
        <v>107</v>
      </c>
      <c r="C135" s="236"/>
      <c r="D135" s="236"/>
      <c r="E135" s="236"/>
      <c r="F135" s="236"/>
      <c r="G135" s="236"/>
      <c r="H135" s="236"/>
      <c r="I135" s="230"/>
      <c r="J135" s="233"/>
      <c r="L135" s="233"/>
    </row>
  </sheetData>
  <mergeCells count="12">
    <mergeCell ref="K86:L86"/>
    <mergeCell ref="H120:J120"/>
    <mergeCell ref="K120:L120"/>
    <mergeCell ref="H18:J18"/>
    <mergeCell ref="K18:L18"/>
    <mergeCell ref="H52:J52"/>
    <mergeCell ref="K52:L52"/>
    <mergeCell ref="B135:H135"/>
    <mergeCell ref="B101:H101"/>
    <mergeCell ref="B67:H67"/>
    <mergeCell ref="B33:H33"/>
    <mergeCell ref="H86:J8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8"/>
  <sheetViews>
    <sheetView topLeftCell="A16" workbookViewId="0">
      <selection activeCell="G44" sqref="G44"/>
    </sheetView>
  </sheetViews>
  <sheetFormatPr defaultRowHeight="15" x14ac:dyDescent="0.25"/>
  <cols>
    <col min="1" max="1" width="36.28515625" style="66" customWidth="1"/>
    <col min="3" max="3" width="53" customWidth="1"/>
    <col min="4" max="4" width="24.140625" style="66" customWidth="1"/>
    <col min="5" max="6" width="21" customWidth="1"/>
    <col min="7" max="7" width="19.42578125" customWidth="1"/>
    <col min="10" max="10" width="15.85546875" customWidth="1"/>
    <col min="11" max="12" width="10.7109375" customWidth="1"/>
    <col min="13" max="13" width="15.7109375" customWidth="1"/>
    <col min="14" max="14" width="13.7109375" customWidth="1"/>
    <col min="15" max="16" width="10.7109375" customWidth="1"/>
    <col min="17" max="17" width="13.42578125" bestFit="1" customWidth="1"/>
    <col min="18" max="18" width="15.140625" customWidth="1"/>
    <col min="19" max="19" width="14.28515625" customWidth="1"/>
  </cols>
  <sheetData>
    <row r="1" spans="3:15" ht="15.75" customHeight="1" x14ac:dyDescent="0.25"/>
    <row r="2" spans="3:15" x14ac:dyDescent="0.25">
      <c r="C2" s="64"/>
    </row>
    <row r="3" spans="3:15" x14ac:dyDescent="0.25">
      <c r="C3" s="65"/>
    </row>
    <row r="4" spans="3:15" x14ac:dyDescent="0.25">
      <c r="C4" s="65"/>
      <c r="F4" s="47"/>
    </row>
    <row r="5" spans="3:15" x14ac:dyDescent="0.25">
      <c r="C5" s="65"/>
    </row>
    <row r="6" spans="3:15" ht="30" x14ac:dyDescent="0.25">
      <c r="C6" s="65"/>
      <c r="D6" s="92" t="s">
        <v>149</v>
      </c>
      <c r="F6">
        <f>F13*1000/3800/4</f>
        <v>16.973684210526315</v>
      </c>
    </row>
    <row r="7" spans="3:15" x14ac:dyDescent="0.25">
      <c r="C7" s="65"/>
      <c r="H7" t="s">
        <v>200</v>
      </c>
      <c r="I7" s="97">
        <v>0.05</v>
      </c>
    </row>
    <row r="8" spans="3:15" ht="51" x14ac:dyDescent="0.25">
      <c r="C8" s="67" t="s">
        <v>44</v>
      </c>
      <c r="D8" s="67" t="s">
        <v>148</v>
      </c>
      <c r="E8" s="70" t="s">
        <v>139</v>
      </c>
      <c r="F8" s="70" t="s">
        <v>140</v>
      </c>
      <c r="G8" s="70" t="s">
        <v>141</v>
      </c>
      <c r="H8" s="70" t="s">
        <v>99</v>
      </c>
      <c r="I8" s="70" t="s">
        <v>100</v>
      </c>
      <c r="J8" s="70" t="s">
        <v>101</v>
      </c>
      <c r="K8" s="70" t="s">
        <v>102</v>
      </c>
      <c r="L8" s="70" t="s">
        <v>103</v>
      </c>
      <c r="M8" s="70" t="s">
        <v>104</v>
      </c>
      <c r="N8" s="70" t="s">
        <v>105</v>
      </c>
      <c r="O8" s="66"/>
    </row>
    <row r="9" spans="3:15" ht="25.5" x14ac:dyDescent="0.25">
      <c r="C9" s="68" t="s">
        <v>26</v>
      </c>
      <c r="D9" s="68" t="s">
        <v>89</v>
      </c>
      <c r="E9" s="79">
        <f>'wykaz cen przetwarzanie odpadów'!D9</f>
        <v>500</v>
      </c>
      <c r="F9" s="79">
        <f>'wykaz cen przetwarzanie odpadów'!E9</f>
        <v>2060</v>
      </c>
      <c r="G9" s="79">
        <f>'wykaz cen przetwarzanie odpadów'!F9</f>
        <v>1061</v>
      </c>
      <c r="H9" s="71">
        <v>250</v>
      </c>
      <c r="I9" s="71">
        <f t="shared" ref="I9:J16" si="0">ROUND(H9*$I$7+H9,0)</f>
        <v>263</v>
      </c>
      <c r="J9" s="71">
        <f t="shared" si="0"/>
        <v>276</v>
      </c>
      <c r="K9" s="72">
        <v>0.08</v>
      </c>
      <c r="L9" s="73">
        <f>ROUND(H9*E9+(H9*E9)*$K9,2)</f>
        <v>135000</v>
      </c>
      <c r="M9" s="73">
        <f>ROUND(I9*F9+(I9*F9)*$K9,2)</f>
        <v>585122.4</v>
      </c>
      <c r="N9" s="73">
        <f t="shared" ref="N9:N16" si="1">J9*G9+(J9*G9)*$K9</f>
        <v>316262.88</v>
      </c>
    </row>
    <row r="10" spans="3:15" ht="25.5" x14ac:dyDescent="0.25">
      <c r="C10" s="68" t="s">
        <v>29</v>
      </c>
      <c r="D10" s="68" t="s">
        <v>28</v>
      </c>
      <c r="E10" s="79">
        <f>'wykaz cen przetwarzanie odpadów'!D10</f>
        <v>210</v>
      </c>
      <c r="F10" s="79">
        <f>'wykaz cen przetwarzanie odpadów'!E10</f>
        <v>865</v>
      </c>
      <c r="G10" s="79">
        <f>'wykaz cen przetwarzanie odpadów'!F10</f>
        <v>445.5</v>
      </c>
      <c r="H10" s="71">
        <v>250</v>
      </c>
      <c r="I10" s="71">
        <f t="shared" si="0"/>
        <v>263</v>
      </c>
      <c r="J10" s="71">
        <f t="shared" si="0"/>
        <v>276</v>
      </c>
      <c r="K10" s="72">
        <f>K9</f>
        <v>0.08</v>
      </c>
      <c r="L10" s="73">
        <f t="shared" ref="L10:M16" si="2">H10*E10+(H10*E10)*$K10</f>
        <v>56700</v>
      </c>
      <c r="M10" s="73">
        <f t="shared" si="2"/>
        <v>245694.6</v>
      </c>
      <c r="N10" s="73">
        <f t="shared" si="1"/>
        <v>132794.64000000001</v>
      </c>
    </row>
    <row r="11" spans="3:15" ht="63.75" x14ac:dyDescent="0.25">
      <c r="C11" s="68" t="s">
        <v>31</v>
      </c>
      <c r="D11" s="68" t="s">
        <v>90</v>
      </c>
      <c r="E11" s="79">
        <f>'wykaz cen przetwarzanie odpadów'!D11</f>
        <v>225</v>
      </c>
      <c r="F11" s="79">
        <f>'wykaz cen przetwarzanie odpadów'!E11</f>
        <v>927</v>
      </c>
      <c r="G11" s="79">
        <f>'wykaz cen przetwarzanie odpadów'!F11</f>
        <v>477.5</v>
      </c>
      <c r="H11" s="71">
        <v>800</v>
      </c>
      <c r="I11" s="71">
        <f t="shared" si="0"/>
        <v>840</v>
      </c>
      <c r="J11" s="71">
        <f t="shared" si="0"/>
        <v>882</v>
      </c>
      <c r="K11" s="72">
        <f t="shared" ref="K11:K15" si="3">K10</f>
        <v>0.08</v>
      </c>
      <c r="L11" s="73">
        <f t="shared" si="2"/>
        <v>194400</v>
      </c>
      <c r="M11" s="73">
        <f t="shared" si="2"/>
        <v>840974.4</v>
      </c>
      <c r="N11" s="73">
        <f t="shared" si="1"/>
        <v>454847.4</v>
      </c>
    </row>
    <row r="12" spans="3:15" x14ac:dyDescent="0.25">
      <c r="C12" s="68" t="s">
        <v>33</v>
      </c>
      <c r="D12" s="68" t="s">
        <v>91</v>
      </c>
      <c r="E12" s="79">
        <f>'wykaz cen przetwarzanie odpadów'!D12</f>
        <v>25</v>
      </c>
      <c r="F12" s="79">
        <f>'wykaz cen przetwarzanie odpadów'!E12</f>
        <v>103</v>
      </c>
      <c r="G12" s="79">
        <f>'wykaz cen przetwarzanie odpadów'!F12</f>
        <v>53</v>
      </c>
      <c r="H12" s="71">
        <v>600</v>
      </c>
      <c r="I12" s="71">
        <f t="shared" si="0"/>
        <v>630</v>
      </c>
      <c r="J12" s="71">
        <f t="shared" si="0"/>
        <v>662</v>
      </c>
      <c r="K12" s="72">
        <f t="shared" si="3"/>
        <v>0.08</v>
      </c>
      <c r="L12" s="73">
        <f t="shared" si="2"/>
        <v>16200</v>
      </c>
      <c r="M12" s="73">
        <f t="shared" si="2"/>
        <v>70081.2</v>
      </c>
      <c r="N12" s="73">
        <f t="shared" si="1"/>
        <v>37892.879999999997</v>
      </c>
    </row>
    <row r="13" spans="3:15" x14ac:dyDescent="0.25">
      <c r="C13" s="68" t="s">
        <v>34</v>
      </c>
      <c r="D13" s="68" t="s">
        <v>92</v>
      </c>
      <c r="E13" s="79">
        <f>'wykaz cen przetwarzanie odpadów'!D13</f>
        <v>63</v>
      </c>
      <c r="F13" s="79">
        <f>'wykaz cen przetwarzanie odpadów'!E13</f>
        <v>258</v>
      </c>
      <c r="G13" s="79">
        <f>'wykaz cen przetwarzanie odpadów'!F13</f>
        <v>133</v>
      </c>
      <c r="H13" s="71">
        <v>400</v>
      </c>
      <c r="I13" s="71">
        <f t="shared" si="0"/>
        <v>420</v>
      </c>
      <c r="J13" s="71">
        <f t="shared" si="0"/>
        <v>441</v>
      </c>
      <c r="K13" s="72">
        <f t="shared" si="3"/>
        <v>0.08</v>
      </c>
      <c r="L13" s="73">
        <f t="shared" si="2"/>
        <v>27216</v>
      </c>
      <c r="M13" s="73">
        <f t="shared" si="2"/>
        <v>117028.8</v>
      </c>
      <c r="N13" s="73">
        <f t="shared" si="1"/>
        <v>63345.24</v>
      </c>
    </row>
    <row r="14" spans="3:15" ht="25.5" x14ac:dyDescent="0.25">
      <c r="C14" s="68" t="s">
        <v>8</v>
      </c>
      <c r="D14" s="68" t="s">
        <v>93</v>
      </c>
      <c r="E14" s="79">
        <f>'wykaz cen przetwarzanie odpadów'!D14</f>
        <v>5</v>
      </c>
      <c r="F14" s="79">
        <f>'wykaz cen przetwarzanie odpadów'!E14</f>
        <v>21</v>
      </c>
      <c r="G14" s="79">
        <f>'wykaz cen przetwarzanie odpadów'!F14</f>
        <v>11</v>
      </c>
      <c r="H14" s="71">
        <v>800</v>
      </c>
      <c r="I14" s="71">
        <f t="shared" si="0"/>
        <v>840</v>
      </c>
      <c r="J14" s="71">
        <f t="shared" si="0"/>
        <v>882</v>
      </c>
      <c r="K14" s="72">
        <f t="shared" si="3"/>
        <v>0.08</v>
      </c>
      <c r="L14" s="73">
        <f t="shared" si="2"/>
        <v>4320</v>
      </c>
      <c r="M14" s="73">
        <f t="shared" si="2"/>
        <v>19051.2</v>
      </c>
      <c r="N14" s="73">
        <f t="shared" si="1"/>
        <v>10478.16</v>
      </c>
    </row>
    <row r="15" spans="3:15" ht="38.25" x14ac:dyDescent="0.25">
      <c r="C15" s="68" t="s">
        <v>39</v>
      </c>
      <c r="D15" s="68" t="s">
        <v>94</v>
      </c>
      <c r="E15" s="79">
        <f>'wykaz cen przetwarzanie odpadów'!D15</f>
        <v>0.5</v>
      </c>
      <c r="F15" s="79">
        <f>'wykaz cen przetwarzanie odpadów'!E15</f>
        <v>2.06</v>
      </c>
      <c r="G15" s="79">
        <f>'wykaz cen przetwarzanie odpadów'!F15</f>
        <v>1</v>
      </c>
      <c r="H15" s="71">
        <v>800</v>
      </c>
      <c r="I15" s="71">
        <f t="shared" si="0"/>
        <v>840</v>
      </c>
      <c r="J15" s="71">
        <f t="shared" si="0"/>
        <v>882</v>
      </c>
      <c r="K15" s="72">
        <f t="shared" si="3"/>
        <v>0.08</v>
      </c>
      <c r="L15" s="73">
        <f t="shared" si="2"/>
        <v>432</v>
      </c>
      <c r="M15" s="73">
        <f t="shared" si="2"/>
        <v>1868.8320000000001</v>
      </c>
      <c r="N15" s="73">
        <f t="shared" si="1"/>
        <v>952.56</v>
      </c>
    </row>
    <row r="16" spans="3:15" x14ac:dyDescent="0.25">
      <c r="C16" s="68" t="s">
        <v>11</v>
      </c>
      <c r="D16" s="68" t="s">
        <v>98</v>
      </c>
      <c r="E16" s="79">
        <f>'wykaz cen przetwarzanie odpadów'!D19</f>
        <v>1</v>
      </c>
      <c r="F16" s="79">
        <f>'wykaz cen przetwarzanie odpadów'!E19</f>
        <v>4.12</v>
      </c>
      <c r="G16" s="79">
        <f>'wykaz cen przetwarzanie odpadów'!F19</f>
        <v>2</v>
      </c>
      <c r="H16" s="71">
        <v>800</v>
      </c>
      <c r="I16" s="71">
        <f t="shared" si="0"/>
        <v>840</v>
      </c>
      <c r="J16" s="71">
        <f t="shared" si="0"/>
        <v>882</v>
      </c>
      <c r="K16" s="72">
        <f>K23</f>
        <v>0.08</v>
      </c>
      <c r="L16" s="73">
        <f t="shared" si="2"/>
        <v>864</v>
      </c>
      <c r="M16" s="73">
        <f t="shared" si="2"/>
        <v>3737.6640000000002</v>
      </c>
      <c r="N16" s="73">
        <f t="shared" si="1"/>
        <v>1905.12</v>
      </c>
    </row>
    <row r="17" spans="1:19" ht="25.5" x14ac:dyDescent="0.25">
      <c r="D17" s="75" t="s">
        <v>106</v>
      </c>
      <c r="H17" s="50"/>
      <c r="I17" s="50"/>
      <c r="J17" s="50"/>
      <c r="K17" s="50"/>
      <c r="L17" s="74">
        <f>SUM(L9:L16)</f>
        <v>435132</v>
      </c>
      <c r="M17" s="74">
        <f>SUM(M9:M16)</f>
        <v>1883559.0959999999</v>
      </c>
      <c r="N17" s="74">
        <f>SUM(N9:N16)</f>
        <v>1018478.8800000001</v>
      </c>
    </row>
    <row r="18" spans="1:19" ht="25.5" x14ac:dyDescent="0.25">
      <c r="D18" s="75" t="s">
        <v>107</v>
      </c>
      <c r="H18" s="234"/>
      <c r="I18" s="234"/>
      <c r="J18" s="234"/>
      <c r="K18" s="50"/>
      <c r="L18" s="235">
        <f>SUM(L17:N17)</f>
        <v>3337169.9759999998</v>
      </c>
      <c r="M18" s="235"/>
      <c r="N18" s="235"/>
    </row>
    <row r="20" spans="1:19" ht="76.5" x14ac:dyDescent="0.25">
      <c r="C20" s="67" t="s">
        <v>44</v>
      </c>
      <c r="D20" s="67" t="s">
        <v>153</v>
      </c>
      <c r="E20" s="70" t="s">
        <v>139</v>
      </c>
      <c r="F20" s="70" t="s">
        <v>140</v>
      </c>
      <c r="G20" s="70" t="s">
        <v>141</v>
      </c>
      <c r="H20" s="70" t="s">
        <v>150</v>
      </c>
      <c r="I20" s="70" t="s">
        <v>151</v>
      </c>
      <c r="J20" s="70" t="s">
        <v>152</v>
      </c>
      <c r="K20" s="70" t="s">
        <v>102</v>
      </c>
      <c r="L20" s="70" t="s">
        <v>103</v>
      </c>
      <c r="M20" s="70" t="s">
        <v>104</v>
      </c>
      <c r="N20" s="70" t="s">
        <v>105</v>
      </c>
      <c r="P20" s="99" t="s">
        <v>195</v>
      </c>
    </row>
    <row r="21" spans="1:19" ht="25.5" x14ac:dyDescent="0.25">
      <c r="C21" s="68" t="s">
        <v>40</v>
      </c>
      <c r="D21" s="68" t="s">
        <v>95</v>
      </c>
      <c r="E21" s="79">
        <f>'wykaz cen przetwarzanie odpadów'!D16</f>
        <v>0.01</v>
      </c>
      <c r="F21" s="79">
        <f>'wykaz cen przetwarzanie odpadów'!E16</f>
        <v>0.05</v>
      </c>
      <c r="G21" s="79">
        <f>'wykaz cen przetwarzanie odpadów'!F16</f>
        <v>0</v>
      </c>
      <c r="H21" s="71">
        <v>2500</v>
      </c>
      <c r="I21" s="71">
        <f t="shared" ref="I21:J23" si="4">ROUND(H21*$I$7+H21,0)</f>
        <v>2625</v>
      </c>
      <c r="J21" s="71">
        <f t="shared" si="4"/>
        <v>2756</v>
      </c>
      <c r="K21" s="72">
        <v>0.08</v>
      </c>
      <c r="L21" s="73">
        <f t="shared" ref="L21:M23" si="5">H21*$K21+H21</f>
        <v>2700</v>
      </c>
      <c r="M21" s="73">
        <f t="shared" si="5"/>
        <v>2835</v>
      </c>
      <c r="N21" s="73">
        <v>0</v>
      </c>
    </row>
    <row r="22" spans="1:19" x14ac:dyDescent="0.25">
      <c r="C22" s="68" t="s">
        <v>42</v>
      </c>
      <c r="D22" s="68" t="s">
        <v>96</v>
      </c>
      <c r="E22" s="79">
        <f>'wykaz cen przetwarzanie odpadów'!D17</f>
        <v>0</v>
      </c>
      <c r="F22" s="79">
        <f>'wykaz cen przetwarzanie odpadów'!E17</f>
        <v>0.01</v>
      </c>
      <c r="G22" s="79">
        <f>'wykaz cen przetwarzanie odpadów'!F17</f>
        <v>0</v>
      </c>
      <c r="H22" s="71">
        <v>2500</v>
      </c>
      <c r="I22" s="71">
        <f t="shared" si="4"/>
        <v>2625</v>
      </c>
      <c r="J22" s="71">
        <f t="shared" si="4"/>
        <v>2756</v>
      </c>
      <c r="K22" s="72">
        <f>K21</f>
        <v>0.08</v>
      </c>
      <c r="L22" s="73">
        <f t="shared" si="5"/>
        <v>2700</v>
      </c>
      <c r="M22" s="73">
        <f t="shared" si="5"/>
        <v>2835</v>
      </c>
      <c r="N22" s="73">
        <v>0</v>
      </c>
    </row>
    <row r="23" spans="1:19" ht="25.5" x14ac:dyDescent="0.25">
      <c r="C23" s="68" t="s">
        <v>41</v>
      </c>
      <c r="D23" s="68" t="s">
        <v>97</v>
      </c>
      <c r="E23" s="79">
        <f>'wykaz cen przetwarzanie odpadów'!D18</f>
        <v>0</v>
      </c>
      <c r="F23" s="79">
        <f>'wykaz cen przetwarzanie odpadów'!E18</f>
        <v>0.01</v>
      </c>
      <c r="G23" s="79">
        <f>'wykaz cen przetwarzanie odpadów'!F18</f>
        <v>0</v>
      </c>
      <c r="H23" s="71">
        <v>2500</v>
      </c>
      <c r="I23" s="71">
        <f t="shared" si="4"/>
        <v>2625</v>
      </c>
      <c r="J23" s="71">
        <f t="shared" si="4"/>
        <v>2756</v>
      </c>
      <c r="K23" s="72">
        <f>K22</f>
        <v>0.08</v>
      </c>
      <c r="L23" s="73">
        <f t="shared" si="5"/>
        <v>2700</v>
      </c>
      <c r="M23" s="73">
        <f t="shared" si="5"/>
        <v>2835</v>
      </c>
      <c r="N23" s="73">
        <v>0</v>
      </c>
    </row>
    <row r="24" spans="1:19" ht="25.5" x14ac:dyDescent="0.25">
      <c r="D24" s="75" t="s">
        <v>106</v>
      </c>
      <c r="L24" s="74">
        <f>SUM(L21:L23)</f>
        <v>8100</v>
      </c>
      <c r="M24" s="74">
        <f t="shared" ref="M24:N24" si="6">SUM(M21:M23)</f>
        <v>8505</v>
      </c>
      <c r="N24" s="74">
        <f t="shared" si="6"/>
        <v>0</v>
      </c>
    </row>
    <row r="25" spans="1:19" ht="25.5" x14ac:dyDescent="0.25">
      <c r="D25" s="75" t="s">
        <v>107</v>
      </c>
      <c r="L25" s="235">
        <f>SUM(L24:N24)</f>
        <v>16605</v>
      </c>
      <c r="M25" s="235"/>
      <c r="N25" s="235"/>
    </row>
    <row r="28" spans="1:19" x14ac:dyDescent="0.25">
      <c r="C28" s="86"/>
    </row>
    <row r="29" spans="1:19" x14ac:dyDescent="0.25">
      <c r="H29" t="s">
        <v>201</v>
      </c>
      <c r="I29" s="97">
        <f>I7</f>
        <v>0.05</v>
      </c>
    </row>
    <row r="30" spans="1:19" ht="141" thickBot="1" x14ac:dyDescent="0.3">
      <c r="A30" s="87" t="s">
        <v>164</v>
      </c>
      <c r="C30" s="88" t="s">
        <v>154</v>
      </c>
      <c r="D30" s="88"/>
      <c r="E30" s="88" t="s">
        <v>158</v>
      </c>
      <c r="F30" s="100" t="s">
        <v>197</v>
      </c>
      <c r="G30" s="89" t="s">
        <v>155</v>
      </c>
      <c r="H30" s="89" t="s">
        <v>156</v>
      </c>
      <c r="I30" s="89" t="s">
        <v>157</v>
      </c>
      <c r="J30" s="89" t="s">
        <v>180</v>
      </c>
      <c r="K30" s="89" t="s">
        <v>181</v>
      </c>
      <c r="L30" s="89" t="s">
        <v>182</v>
      </c>
      <c r="M30" s="89" t="s">
        <v>177</v>
      </c>
      <c r="N30" s="89" t="s">
        <v>178</v>
      </c>
      <c r="O30" s="89" t="s">
        <v>179</v>
      </c>
      <c r="P30" s="89" t="s">
        <v>102</v>
      </c>
      <c r="Q30" s="89" t="s">
        <v>103</v>
      </c>
      <c r="R30" s="89" t="s">
        <v>104</v>
      </c>
      <c r="S30" s="89" t="s">
        <v>105</v>
      </c>
    </row>
    <row r="31" spans="1:19" ht="15.75" customHeight="1" thickBot="1" x14ac:dyDescent="0.3">
      <c r="A31" s="87" t="s">
        <v>165</v>
      </c>
      <c r="C31" s="90" t="s">
        <v>159</v>
      </c>
      <c r="D31" s="152" t="s">
        <v>170</v>
      </c>
      <c r="E31" s="4" t="s">
        <v>160</v>
      </c>
      <c r="F31" s="135">
        <v>645</v>
      </c>
      <c r="G31" s="4">
        <f>'odbieranie - bez mycia'!G31</f>
        <v>650</v>
      </c>
      <c r="H31" s="4">
        <f>G31</f>
        <v>650</v>
      </c>
      <c r="I31" s="4">
        <f>H31</f>
        <v>650</v>
      </c>
      <c r="J31" s="136">
        <f>120/60+5/12</f>
        <v>2.4166666666666665</v>
      </c>
      <c r="K31" s="137">
        <f t="shared" ref="K31:L51" si="7">ROUND(J31*$I$29+J31,2)</f>
        <v>2.54</v>
      </c>
      <c r="L31" s="137">
        <f t="shared" si="7"/>
        <v>2.67</v>
      </c>
      <c r="M31" s="138">
        <f>G31*J31*3</f>
        <v>4712.5</v>
      </c>
      <c r="N31" s="138">
        <f>H31*K31*12</f>
        <v>19812</v>
      </c>
      <c r="O31" s="138">
        <f>I31*L31*6</f>
        <v>10413</v>
      </c>
      <c r="P31" s="134">
        <v>0.08</v>
      </c>
      <c r="Q31" s="131">
        <f>ROUND(M31*$P$31+M31,2)</f>
        <v>5089.5</v>
      </c>
      <c r="R31" s="131">
        <f t="shared" ref="R31:S46" si="8">ROUND(N31*$P$31+N31,2)</f>
        <v>21396.959999999999</v>
      </c>
      <c r="S31" s="139">
        <f t="shared" si="8"/>
        <v>11246.04</v>
      </c>
    </row>
    <row r="32" spans="1:19" ht="16.5" customHeight="1" thickBot="1" x14ac:dyDescent="0.3">
      <c r="A32" s="66">
        <f>150+3829</f>
        <v>3979</v>
      </c>
      <c r="C32" s="91"/>
      <c r="D32" s="147" t="s">
        <v>199</v>
      </c>
      <c r="E32" s="1" t="s">
        <v>161</v>
      </c>
      <c r="F32" s="101">
        <v>3282</v>
      </c>
      <c r="G32" s="4">
        <f>'odbieranie - bez mycia'!G32</f>
        <v>3200</v>
      </c>
      <c r="H32" s="1">
        <f>G32</f>
        <v>3200</v>
      </c>
      <c r="I32" s="1">
        <f>H32</f>
        <v>3200</v>
      </c>
      <c r="J32" s="94">
        <f>180/60+5/12</f>
        <v>3.4166666666666665</v>
      </c>
      <c r="K32" s="132">
        <f t="shared" si="7"/>
        <v>3.59</v>
      </c>
      <c r="L32" s="132">
        <f t="shared" si="7"/>
        <v>3.77</v>
      </c>
      <c r="M32" s="133">
        <f t="shared" ref="M32:M50" si="9">G32*J32*3</f>
        <v>32800</v>
      </c>
      <c r="N32" s="133">
        <f t="shared" ref="N32:N50" si="10">H32*K32*12</f>
        <v>137856</v>
      </c>
      <c r="O32" s="133">
        <f t="shared" ref="O32:O50" si="11">I32*L32*6</f>
        <v>72384</v>
      </c>
      <c r="P32" s="148">
        <f>P31</f>
        <v>0.08</v>
      </c>
      <c r="Q32" s="149">
        <f t="shared" ref="Q32:S47" si="12">ROUND(M32*$P$31+M32,2)</f>
        <v>35424</v>
      </c>
      <c r="R32" s="149">
        <f t="shared" si="8"/>
        <v>148884.48000000001</v>
      </c>
      <c r="S32" s="153">
        <f t="shared" si="8"/>
        <v>78174.720000000001</v>
      </c>
    </row>
    <row r="33" spans="1:19" ht="15.75" thickBot="1" x14ac:dyDescent="0.3">
      <c r="C33" s="91"/>
      <c r="D33" s="147" t="s">
        <v>422</v>
      </c>
      <c r="E33" s="1" t="s">
        <v>161</v>
      </c>
      <c r="F33" s="101">
        <v>26</v>
      </c>
      <c r="G33" s="4">
        <f>'odbieranie - bez mycia'!G33</f>
        <v>100</v>
      </c>
      <c r="H33" s="1">
        <f t="shared" ref="H33:I34" si="13">G33</f>
        <v>100</v>
      </c>
      <c r="I33" s="1">
        <f t="shared" si="13"/>
        <v>100</v>
      </c>
      <c r="J33" s="94">
        <f>ROUND(220/60,1)+5/12</f>
        <v>4.1166666666666671</v>
      </c>
      <c r="K33" s="132">
        <f t="shared" si="7"/>
        <v>4.32</v>
      </c>
      <c r="L33" s="132">
        <f t="shared" si="7"/>
        <v>4.54</v>
      </c>
      <c r="M33" s="133">
        <f t="shared" si="9"/>
        <v>1235.0000000000002</v>
      </c>
      <c r="N33" s="133">
        <f t="shared" si="10"/>
        <v>5184</v>
      </c>
      <c r="O33" s="133">
        <f t="shared" si="11"/>
        <v>2724</v>
      </c>
      <c r="P33" s="148">
        <f t="shared" ref="P33:P51" si="14">P32</f>
        <v>0.08</v>
      </c>
      <c r="Q33" s="149">
        <f t="shared" si="12"/>
        <v>1333.8</v>
      </c>
      <c r="R33" s="149">
        <f t="shared" si="8"/>
        <v>5598.72</v>
      </c>
      <c r="S33" s="153">
        <f t="shared" si="8"/>
        <v>2941.92</v>
      </c>
    </row>
    <row r="34" spans="1:19" ht="16.5" customHeight="1" thickBot="1" x14ac:dyDescent="0.3">
      <c r="C34" s="140"/>
      <c r="D34" s="154" t="s">
        <v>173</v>
      </c>
      <c r="E34" s="7" t="s">
        <v>162</v>
      </c>
      <c r="F34" s="141">
        <f>85+12</f>
        <v>97</v>
      </c>
      <c r="G34" s="4" t="e">
        <f>'odbieranie - bez mycia'!G34</f>
        <v>#REF!</v>
      </c>
      <c r="H34" s="7" t="e">
        <f t="shared" si="13"/>
        <v>#REF!</v>
      </c>
      <c r="I34" s="7" t="e">
        <f t="shared" si="13"/>
        <v>#REF!</v>
      </c>
      <c r="J34" s="142">
        <f>750/60+15/12</f>
        <v>13.75</v>
      </c>
      <c r="K34" s="143">
        <f t="shared" si="7"/>
        <v>14.44</v>
      </c>
      <c r="L34" s="143">
        <f t="shared" si="7"/>
        <v>15.16</v>
      </c>
      <c r="M34" s="144" t="e">
        <f t="shared" si="9"/>
        <v>#REF!</v>
      </c>
      <c r="N34" s="144" t="e">
        <f t="shared" si="10"/>
        <v>#REF!</v>
      </c>
      <c r="O34" s="144" t="e">
        <f t="shared" si="11"/>
        <v>#REF!</v>
      </c>
      <c r="P34" s="155">
        <f t="shared" si="14"/>
        <v>0.08</v>
      </c>
      <c r="Q34" s="156" t="e">
        <f t="shared" si="12"/>
        <v>#REF!</v>
      </c>
      <c r="R34" s="156" t="e">
        <f t="shared" si="8"/>
        <v>#REF!</v>
      </c>
      <c r="S34" s="157" t="e">
        <f t="shared" si="8"/>
        <v>#REF!</v>
      </c>
    </row>
    <row r="35" spans="1:19" x14ac:dyDescent="0.25">
      <c r="C35" s="3" t="s">
        <v>163</v>
      </c>
      <c r="D35" s="152" t="s">
        <v>170</v>
      </c>
      <c r="E35" s="126" t="s">
        <v>169</v>
      </c>
      <c r="F35" s="135"/>
      <c r="G35" s="246">
        <f>ROUND(E12/0.003,-2)</f>
        <v>8300</v>
      </c>
      <c r="H35" s="246">
        <f>ROUND(F12/0.003,-2)</f>
        <v>34300</v>
      </c>
      <c r="I35" s="246">
        <f>ROUND(G12/0.003,-2)</f>
        <v>17700</v>
      </c>
      <c r="J35" s="248">
        <v>0.4</v>
      </c>
      <c r="K35" s="250">
        <f t="shared" si="7"/>
        <v>0.42</v>
      </c>
      <c r="L35" s="250">
        <f t="shared" si="7"/>
        <v>0.44</v>
      </c>
      <c r="M35" s="240">
        <f t="shared" si="9"/>
        <v>9960</v>
      </c>
      <c r="N35" s="240">
        <f t="shared" si="10"/>
        <v>172872</v>
      </c>
      <c r="O35" s="240">
        <f t="shared" si="11"/>
        <v>46728</v>
      </c>
      <c r="P35" s="240">
        <f t="shared" si="14"/>
        <v>0.08</v>
      </c>
      <c r="Q35" s="242">
        <f t="shared" si="12"/>
        <v>10756.8</v>
      </c>
      <c r="R35" s="242">
        <f t="shared" si="8"/>
        <v>186701.76</v>
      </c>
      <c r="S35" s="244">
        <f t="shared" si="8"/>
        <v>50466.239999999998</v>
      </c>
    </row>
    <row r="36" spans="1:19" x14ac:dyDescent="0.25">
      <c r="C36" s="5"/>
      <c r="D36" s="147" t="s">
        <v>171</v>
      </c>
      <c r="E36" s="23" t="s">
        <v>169</v>
      </c>
      <c r="F36" s="101"/>
      <c r="G36" s="247"/>
      <c r="H36" s="247"/>
      <c r="I36" s="247"/>
      <c r="J36" s="249">
        <v>0</v>
      </c>
      <c r="K36" s="251">
        <f t="shared" si="7"/>
        <v>0</v>
      </c>
      <c r="L36" s="251">
        <f t="shared" si="7"/>
        <v>0</v>
      </c>
      <c r="M36" s="241">
        <f t="shared" si="9"/>
        <v>0</v>
      </c>
      <c r="N36" s="241">
        <f t="shared" si="10"/>
        <v>0</v>
      </c>
      <c r="O36" s="241">
        <f t="shared" si="11"/>
        <v>0</v>
      </c>
      <c r="P36" s="241">
        <f t="shared" si="14"/>
        <v>0.08</v>
      </c>
      <c r="Q36" s="243">
        <f t="shared" si="12"/>
        <v>0</v>
      </c>
      <c r="R36" s="243">
        <f t="shared" si="8"/>
        <v>0</v>
      </c>
      <c r="S36" s="245">
        <f t="shared" si="8"/>
        <v>0</v>
      </c>
    </row>
    <row r="37" spans="1:19" x14ac:dyDescent="0.25">
      <c r="C37" s="5"/>
      <c r="D37" s="147" t="s">
        <v>422</v>
      </c>
      <c r="E37" s="1" t="s">
        <v>161</v>
      </c>
      <c r="F37" s="101"/>
      <c r="G37" s="1">
        <f t="shared" ref="G37:G38" si="15">G33</f>
        <v>100</v>
      </c>
      <c r="H37" s="1">
        <f t="shared" ref="H37:I38" si="16">G37</f>
        <v>100</v>
      </c>
      <c r="I37" s="1">
        <f t="shared" si="16"/>
        <v>100</v>
      </c>
      <c r="J37" s="95">
        <f t="shared" ref="J37:J46" si="17">J33</f>
        <v>4.1166666666666671</v>
      </c>
      <c r="K37" s="95">
        <f t="shared" si="7"/>
        <v>4.32</v>
      </c>
      <c r="L37" s="95">
        <f t="shared" si="7"/>
        <v>4.54</v>
      </c>
      <c r="M37" s="1">
        <f t="shared" si="9"/>
        <v>1235.0000000000002</v>
      </c>
      <c r="N37" s="1">
        <f t="shared" si="10"/>
        <v>5184</v>
      </c>
      <c r="O37" s="1">
        <f t="shared" si="11"/>
        <v>2724</v>
      </c>
      <c r="P37" s="39">
        <f t="shared" si="14"/>
        <v>0.08</v>
      </c>
      <c r="Q37" s="150">
        <f t="shared" si="12"/>
        <v>1333.8</v>
      </c>
      <c r="R37" s="150">
        <f t="shared" si="8"/>
        <v>5598.72</v>
      </c>
      <c r="S37" s="158">
        <f t="shared" si="8"/>
        <v>2941.92</v>
      </c>
    </row>
    <row r="38" spans="1:19" ht="15.75" thickBot="1" x14ac:dyDescent="0.3">
      <c r="C38" s="6"/>
      <c r="D38" s="154" t="s">
        <v>173</v>
      </c>
      <c r="E38" s="7" t="s">
        <v>162</v>
      </c>
      <c r="F38" s="141"/>
      <c r="G38" s="7" t="e">
        <f t="shared" si="15"/>
        <v>#REF!</v>
      </c>
      <c r="H38" s="7" t="e">
        <f t="shared" si="16"/>
        <v>#REF!</v>
      </c>
      <c r="I38" s="7" t="e">
        <f t="shared" si="16"/>
        <v>#REF!</v>
      </c>
      <c r="J38" s="146">
        <f t="shared" si="17"/>
        <v>13.75</v>
      </c>
      <c r="K38" s="146">
        <f t="shared" si="7"/>
        <v>14.44</v>
      </c>
      <c r="L38" s="146">
        <f t="shared" si="7"/>
        <v>15.16</v>
      </c>
      <c r="M38" s="7" t="e">
        <f t="shared" si="9"/>
        <v>#REF!</v>
      </c>
      <c r="N38" s="7" t="e">
        <f t="shared" si="10"/>
        <v>#REF!</v>
      </c>
      <c r="O38" s="7" t="e">
        <f t="shared" si="11"/>
        <v>#REF!</v>
      </c>
      <c r="P38" s="159">
        <f t="shared" si="14"/>
        <v>0.08</v>
      </c>
      <c r="Q38" s="160" t="e">
        <f t="shared" si="12"/>
        <v>#REF!</v>
      </c>
      <c r="R38" s="160" t="e">
        <f t="shared" si="8"/>
        <v>#REF!</v>
      </c>
      <c r="S38" s="161" t="e">
        <f t="shared" si="8"/>
        <v>#REF!</v>
      </c>
    </row>
    <row r="39" spans="1:19" x14ac:dyDescent="0.25">
      <c r="C39" s="3" t="s">
        <v>166</v>
      </c>
      <c r="D39" s="152" t="s">
        <v>170</v>
      </c>
      <c r="E39" s="4" t="s">
        <v>160</v>
      </c>
      <c r="F39" s="135">
        <v>355</v>
      </c>
      <c r="G39" s="4">
        <v>650</v>
      </c>
      <c r="H39" s="4">
        <f>G39</f>
        <v>650</v>
      </c>
      <c r="I39" s="4">
        <f>H39</f>
        <v>650</v>
      </c>
      <c r="J39" s="162">
        <f>J31</f>
        <v>2.4166666666666665</v>
      </c>
      <c r="K39" s="162">
        <f t="shared" si="7"/>
        <v>2.54</v>
      </c>
      <c r="L39" s="162">
        <f t="shared" si="7"/>
        <v>2.67</v>
      </c>
      <c r="M39" s="4">
        <f t="shared" si="9"/>
        <v>4712.5</v>
      </c>
      <c r="N39" s="4">
        <f t="shared" si="10"/>
        <v>19812</v>
      </c>
      <c r="O39" s="4">
        <f t="shared" si="11"/>
        <v>10413</v>
      </c>
      <c r="P39" s="93">
        <f t="shared" si="14"/>
        <v>0.08</v>
      </c>
      <c r="Q39" s="98">
        <f t="shared" si="12"/>
        <v>5089.5</v>
      </c>
      <c r="R39" s="98">
        <f t="shared" si="8"/>
        <v>21396.959999999999</v>
      </c>
      <c r="S39" s="145">
        <f t="shared" si="8"/>
        <v>11246.04</v>
      </c>
    </row>
    <row r="40" spans="1:19" x14ac:dyDescent="0.25">
      <c r="C40" s="5"/>
      <c r="D40" s="147" t="s">
        <v>171</v>
      </c>
      <c r="E40" s="1" t="s">
        <v>161</v>
      </c>
      <c r="F40" s="101">
        <v>3339</v>
      </c>
      <c r="G40" s="1">
        <f>G32</f>
        <v>3200</v>
      </c>
      <c r="H40" s="1">
        <f>G40</f>
        <v>3200</v>
      </c>
      <c r="I40" s="1">
        <f>H40</f>
        <v>3200</v>
      </c>
      <c r="J40" s="95">
        <f>J32</f>
        <v>3.4166666666666665</v>
      </c>
      <c r="K40" s="95">
        <f t="shared" si="7"/>
        <v>3.59</v>
      </c>
      <c r="L40" s="95">
        <f t="shared" si="7"/>
        <v>3.77</v>
      </c>
      <c r="M40" s="1">
        <f t="shared" si="9"/>
        <v>32800</v>
      </c>
      <c r="N40" s="1">
        <f t="shared" si="10"/>
        <v>137856</v>
      </c>
      <c r="O40" s="1">
        <f t="shared" si="11"/>
        <v>72384</v>
      </c>
      <c r="P40" s="39">
        <f t="shared" si="14"/>
        <v>0.08</v>
      </c>
      <c r="Q40" s="150">
        <f t="shared" si="12"/>
        <v>35424</v>
      </c>
      <c r="R40" s="150">
        <f t="shared" si="8"/>
        <v>148884.48000000001</v>
      </c>
      <c r="S40" s="158">
        <f t="shared" si="8"/>
        <v>78174.720000000001</v>
      </c>
    </row>
    <row r="41" spans="1:19" x14ac:dyDescent="0.25">
      <c r="C41" s="5"/>
      <c r="D41" s="147" t="s">
        <v>422</v>
      </c>
      <c r="E41" s="1" t="s">
        <v>161</v>
      </c>
      <c r="F41" s="101">
        <v>29</v>
      </c>
      <c r="G41" s="1">
        <f t="shared" ref="G41:G46" si="18">G37</f>
        <v>100</v>
      </c>
      <c r="H41" s="1">
        <f t="shared" ref="H41:I42" si="19">G41</f>
        <v>100</v>
      </c>
      <c r="I41" s="1">
        <f t="shared" si="19"/>
        <v>100</v>
      </c>
      <c r="J41" s="95">
        <f t="shared" si="17"/>
        <v>4.1166666666666671</v>
      </c>
      <c r="K41" s="95">
        <f t="shared" si="7"/>
        <v>4.32</v>
      </c>
      <c r="L41" s="95">
        <f t="shared" si="7"/>
        <v>4.54</v>
      </c>
      <c r="M41" s="1">
        <f t="shared" si="9"/>
        <v>1235.0000000000002</v>
      </c>
      <c r="N41" s="1">
        <f t="shared" si="10"/>
        <v>5184</v>
      </c>
      <c r="O41" s="1">
        <f t="shared" si="11"/>
        <v>2724</v>
      </c>
      <c r="P41" s="39">
        <f t="shared" si="14"/>
        <v>0.08</v>
      </c>
      <c r="Q41" s="150">
        <f t="shared" si="12"/>
        <v>1333.8</v>
      </c>
      <c r="R41" s="150">
        <f t="shared" si="8"/>
        <v>5598.72</v>
      </c>
      <c r="S41" s="158">
        <f t="shared" si="8"/>
        <v>2941.92</v>
      </c>
    </row>
    <row r="42" spans="1:19" ht="15.75" thickBot="1" x14ac:dyDescent="0.3">
      <c r="C42" s="6"/>
      <c r="D42" s="154" t="s">
        <v>173</v>
      </c>
      <c r="E42" s="7" t="s">
        <v>162</v>
      </c>
      <c r="F42" s="141">
        <f>28+2</f>
        <v>30</v>
      </c>
      <c r="G42" s="7" t="e">
        <f t="shared" si="18"/>
        <v>#REF!</v>
      </c>
      <c r="H42" s="7" t="e">
        <f t="shared" si="19"/>
        <v>#REF!</v>
      </c>
      <c r="I42" s="7" t="e">
        <f t="shared" si="19"/>
        <v>#REF!</v>
      </c>
      <c r="J42" s="146">
        <f t="shared" si="17"/>
        <v>13.75</v>
      </c>
      <c r="K42" s="146">
        <f t="shared" si="7"/>
        <v>14.44</v>
      </c>
      <c r="L42" s="146">
        <f t="shared" si="7"/>
        <v>15.16</v>
      </c>
      <c r="M42" s="7" t="e">
        <f t="shared" si="9"/>
        <v>#REF!</v>
      </c>
      <c r="N42" s="7" t="e">
        <f t="shared" si="10"/>
        <v>#REF!</v>
      </c>
      <c r="O42" s="7" t="e">
        <f t="shared" si="11"/>
        <v>#REF!</v>
      </c>
      <c r="P42" s="159">
        <f t="shared" si="14"/>
        <v>0.08</v>
      </c>
      <c r="Q42" s="160" t="e">
        <f t="shared" si="12"/>
        <v>#REF!</v>
      </c>
      <c r="R42" s="160" t="e">
        <f t="shared" si="8"/>
        <v>#REF!</v>
      </c>
      <c r="S42" s="161" t="e">
        <f t="shared" si="8"/>
        <v>#REF!</v>
      </c>
    </row>
    <row r="43" spans="1:19" ht="33.75" customHeight="1" x14ac:dyDescent="0.25">
      <c r="A43" s="87" t="s">
        <v>175</v>
      </c>
      <c r="C43" s="3" t="s">
        <v>167</v>
      </c>
      <c r="D43" s="152" t="s">
        <v>170</v>
      </c>
      <c r="E43" s="4" t="s">
        <v>160</v>
      </c>
      <c r="F43" s="135">
        <v>2135</v>
      </c>
      <c r="G43" s="4">
        <f>ROUND(G39*80%,0)*0+2560</f>
        <v>2560</v>
      </c>
      <c r="H43" s="4">
        <f>G43</f>
        <v>2560</v>
      </c>
      <c r="I43" s="4">
        <f>H43</f>
        <v>2560</v>
      </c>
      <c r="J43" s="162">
        <f t="shared" si="17"/>
        <v>2.4166666666666665</v>
      </c>
      <c r="K43" s="162">
        <f t="shared" si="7"/>
        <v>2.54</v>
      </c>
      <c r="L43" s="162">
        <f t="shared" si="7"/>
        <v>2.67</v>
      </c>
      <c r="M43" s="4">
        <f t="shared" si="9"/>
        <v>18560</v>
      </c>
      <c r="N43" s="4">
        <f t="shared" si="10"/>
        <v>78028.799999999988</v>
      </c>
      <c r="O43" s="4">
        <f t="shared" si="11"/>
        <v>41011.199999999997</v>
      </c>
      <c r="P43" s="93">
        <f t="shared" si="14"/>
        <v>0.08</v>
      </c>
      <c r="Q43" s="98">
        <f t="shared" si="12"/>
        <v>20044.8</v>
      </c>
      <c r="R43" s="98">
        <f t="shared" si="8"/>
        <v>84271.1</v>
      </c>
      <c r="S43" s="145">
        <f t="shared" si="8"/>
        <v>44292.1</v>
      </c>
    </row>
    <row r="44" spans="1:19" ht="30" x14ac:dyDescent="0.25">
      <c r="A44" s="87" t="s">
        <v>175</v>
      </c>
      <c r="C44" s="5"/>
      <c r="D44" s="147" t="s">
        <v>171</v>
      </c>
      <c r="E44" s="1" t="s">
        <v>161</v>
      </c>
      <c r="F44" s="101">
        <v>91</v>
      </c>
      <c r="G44" s="1">
        <f>G40*80%*0+520</f>
        <v>520</v>
      </c>
      <c r="H44" s="1">
        <f>G44</f>
        <v>520</v>
      </c>
      <c r="I44" s="1">
        <f>H44</f>
        <v>520</v>
      </c>
      <c r="J44" s="95">
        <f t="shared" si="17"/>
        <v>3.4166666666666665</v>
      </c>
      <c r="K44" s="95">
        <f t="shared" si="7"/>
        <v>3.59</v>
      </c>
      <c r="L44" s="95">
        <f t="shared" si="7"/>
        <v>3.77</v>
      </c>
      <c r="M44" s="1">
        <f t="shared" si="9"/>
        <v>5330</v>
      </c>
      <c r="N44" s="1">
        <f t="shared" si="10"/>
        <v>22401.599999999999</v>
      </c>
      <c r="O44" s="1">
        <f t="shared" si="11"/>
        <v>11762.400000000001</v>
      </c>
      <c r="P44" s="39">
        <f t="shared" si="14"/>
        <v>0.08</v>
      </c>
      <c r="Q44" s="150">
        <f t="shared" si="12"/>
        <v>5756.4</v>
      </c>
      <c r="R44" s="150">
        <f t="shared" si="8"/>
        <v>24193.73</v>
      </c>
      <c r="S44" s="158">
        <f t="shared" si="8"/>
        <v>12703.39</v>
      </c>
    </row>
    <row r="45" spans="1:19" x14ac:dyDescent="0.25">
      <c r="C45" s="5"/>
      <c r="D45" s="147" t="s">
        <v>422</v>
      </c>
      <c r="E45" s="1" t="s">
        <v>161</v>
      </c>
      <c r="F45" s="101">
        <v>7</v>
      </c>
      <c r="G45" s="1">
        <f t="shared" si="18"/>
        <v>100</v>
      </c>
      <c r="H45" s="1">
        <f t="shared" ref="H45:I46" si="20">G45</f>
        <v>100</v>
      </c>
      <c r="I45" s="1">
        <f t="shared" si="20"/>
        <v>100</v>
      </c>
      <c r="J45" s="95">
        <f t="shared" si="17"/>
        <v>4.1166666666666671</v>
      </c>
      <c r="K45" s="95">
        <f t="shared" si="7"/>
        <v>4.32</v>
      </c>
      <c r="L45" s="95">
        <f t="shared" si="7"/>
        <v>4.54</v>
      </c>
      <c r="M45" s="1">
        <f t="shared" si="9"/>
        <v>1235.0000000000002</v>
      </c>
      <c r="N45" s="1">
        <f t="shared" si="10"/>
        <v>5184</v>
      </c>
      <c r="O45" s="1">
        <f t="shared" si="11"/>
        <v>2724</v>
      </c>
      <c r="P45" s="39">
        <f t="shared" si="14"/>
        <v>0.08</v>
      </c>
      <c r="Q45" s="150">
        <f t="shared" si="12"/>
        <v>1333.8</v>
      </c>
      <c r="R45" s="150">
        <f t="shared" si="8"/>
        <v>5598.72</v>
      </c>
      <c r="S45" s="158">
        <f t="shared" si="8"/>
        <v>2941.92</v>
      </c>
    </row>
    <row r="46" spans="1:19" ht="15.75" thickBot="1" x14ac:dyDescent="0.3">
      <c r="C46" s="6"/>
      <c r="D46" s="154" t="s">
        <v>173</v>
      </c>
      <c r="E46" s="7" t="s">
        <v>162</v>
      </c>
      <c r="F46" s="141">
        <f>16</f>
        <v>16</v>
      </c>
      <c r="G46" s="7" t="e">
        <f t="shared" si="18"/>
        <v>#REF!</v>
      </c>
      <c r="H46" s="7" t="e">
        <f t="shared" si="20"/>
        <v>#REF!</v>
      </c>
      <c r="I46" s="7" t="e">
        <f t="shared" si="20"/>
        <v>#REF!</v>
      </c>
      <c r="J46" s="146">
        <f t="shared" si="17"/>
        <v>13.75</v>
      </c>
      <c r="K46" s="146">
        <f t="shared" si="7"/>
        <v>14.44</v>
      </c>
      <c r="L46" s="146">
        <f t="shared" si="7"/>
        <v>15.16</v>
      </c>
      <c r="M46" s="7" t="e">
        <f t="shared" si="9"/>
        <v>#REF!</v>
      </c>
      <c r="N46" s="7" t="e">
        <f t="shared" si="10"/>
        <v>#REF!</v>
      </c>
      <c r="O46" s="7" t="e">
        <f t="shared" si="11"/>
        <v>#REF!</v>
      </c>
      <c r="P46" s="159">
        <f t="shared" si="14"/>
        <v>0.08</v>
      </c>
      <c r="Q46" s="160" t="e">
        <f t="shared" si="12"/>
        <v>#REF!</v>
      </c>
      <c r="R46" s="160" t="e">
        <f t="shared" si="8"/>
        <v>#REF!</v>
      </c>
      <c r="S46" s="161" t="e">
        <f t="shared" si="8"/>
        <v>#REF!</v>
      </c>
    </row>
    <row r="47" spans="1:19" x14ac:dyDescent="0.25">
      <c r="A47" s="87" t="s">
        <v>176</v>
      </c>
      <c r="B47" s="47"/>
      <c r="C47" s="3" t="s">
        <v>168</v>
      </c>
      <c r="D47" s="152" t="s">
        <v>170</v>
      </c>
      <c r="E47" s="126" t="s">
        <v>160</v>
      </c>
      <c r="F47" s="171"/>
      <c r="G47" s="172">
        <f>G39</f>
        <v>650</v>
      </c>
      <c r="H47" s="172">
        <f t="shared" ref="H47:I47" si="21">H39</f>
        <v>650</v>
      </c>
      <c r="I47" s="172">
        <f t="shared" si="21"/>
        <v>650</v>
      </c>
      <c r="J47" s="136">
        <f>120/60*0+5/12</f>
        <v>0.41666666666666669</v>
      </c>
      <c r="K47" s="162">
        <f t="shared" si="7"/>
        <v>0.44</v>
      </c>
      <c r="L47" s="162">
        <f t="shared" si="7"/>
        <v>0.46</v>
      </c>
      <c r="M47" s="4">
        <f t="shared" si="9"/>
        <v>812.50000000000011</v>
      </c>
      <c r="N47" s="4">
        <f t="shared" si="10"/>
        <v>3432</v>
      </c>
      <c r="O47" s="4">
        <f t="shared" si="11"/>
        <v>1794</v>
      </c>
      <c r="P47" s="93">
        <f t="shared" si="14"/>
        <v>0.08</v>
      </c>
      <c r="Q47" s="98">
        <f t="shared" si="12"/>
        <v>877.5</v>
      </c>
      <c r="R47" s="145">
        <f t="shared" si="12"/>
        <v>3706.56</v>
      </c>
      <c r="S47" s="163">
        <f t="shared" si="12"/>
        <v>1937.52</v>
      </c>
    </row>
    <row r="48" spans="1:19" x14ac:dyDescent="0.25">
      <c r="A48" s="87"/>
      <c r="B48" s="47"/>
      <c r="C48" s="5"/>
      <c r="D48" s="147" t="s">
        <v>171</v>
      </c>
      <c r="E48" s="23" t="s">
        <v>160</v>
      </c>
      <c r="F48" s="109"/>
      <c r="G48" s="127">
        <f>G40</f>
        <v>3200</v>
      </c>
      <c r="H48" s="127">
        <f t="shared" ref="H48:I48" si="22">H40</f>
        <v>3200</v>
      </c>
      <c r="I48" s="127">
        <f t="shared" si="22"/>
        <v>3200</v>
      </c>
      <c r="J48" s="94">
        <f>180/60*0+5/12</f>
        <v>0.41666666666666669</v>
      </c>
      <c r="K48" s="95">
        <f t="shared" si="7"/>
        <v>0.44</v>
      </c>
      <c r="L48" s="95">
        <f t="shared" si="7"/>
        <v>0.46</v>
      </c>
      <c r="M48" s="1">
        <f t="shared" si="9"/>
        <v>4000.0000000000005</v>
      </c>
      <c r="N48" s="1">
        <f t="shared" si="10"/>
        <v>16896</v>
      </c>
      <c r="O48" s="1">
        <f t="shared" si="11"/>
        <v>8832</v>
      </c>
      <c r="P48" s="39">
        <f t="shared" si="14"/>
        <v>0.08</v>
      </c>
      <c r="Q48" s="150">
        <f t="shared" ref="Q48:S51" si="23">ROUND(M48*$P$31+M48,2)</f>
        <v>4320</v>
      </c>
      <c r="R48" s="158">
        <f t="shared" si="23"/>
        <v>18247.68</v>
      </c>
      <c r="S48" s="164">
        <f t="shared" si="23"/>
        <v>9538.56</v>
      </c>
    </row>
    <row r="49" spans="1:19" ht="30" x14ac:dyDescent="0.25">
      <c r="A49" s="87"/>
      <c r="B49" s="47"/>
      <c r="C49" s="5"/>
      <c r="D49" s="147" t="s">
        <v>174</v>
      </c>
      <c r="E49" s="1" t="s">
        <v>455</v>
      </c>
      <c r="F49" s="101"/>
      <c r="G49" s="1">
        <f>G45</f>
        <v>100</v>
      </c>
      <c r="H49" s="1">
        <f t="shared" ref="H49:I49" si="24">H45</f>
        <v>100</v>
      </c>
      <c r="I49" s="1">
        <f t="shared" si="24"/>
        <v>100</v>
      </c>
      <c r="J49" s="94">
        <f>ROUND(220/60,1)*0+5/12</f>
        <v>0.41666666666666669</v>
      </c>
      <c r="K49" s="95">
        <f t="shared" si="7"/>
        <v>0.44</v>
      </c>
      <c r="L49" s="95">
        <f t="shared" si="7"/>
        <v>0.46</v>
      </c>
      <c r="M49" s="1">
        <f t="shared" si="9"/>
        <v>125.00000000000001</v>
      </c>
      <c r="N49" s="1">
        <f t="shared" si="10"/>
        <v>528</v>
      </c>
      <c r="O49" s="1">
        <f t="shared" si="11"/>
        <v>276</v>
      </c>
      <c r="P49" s="39">
        <f>P47</f>
        <v>0.08</v>
      </c>
      <c r="Q49" s="150">
        <f>ROUND(M49*$P$31+M49,2)</f>
        <v>135</v>
      </c>
      <c r="R49" s="158">
        <f t="shared" si="23"/>
        <v>570.24</v>
      </c>
      <c r="S49" s="164">
        <f t="shared" si="23"/>
        <v>298.08</v>
      </c>
    </row>
    <row r="50" spans="1:19" ht="15.75" thickBot="1" x14ac:dyDescent="0.3">
      <c r="A50" s="87"/>
      <c r="B50" s="47"/>
      <c r="C50" s="6"/>
      <c r="D50" s="154" t="s">
        <v>173</v>
      </c>
      <c r="E50" s="7" t="s">
        <v>162</v>
      </c>
      <c r="F50" s="141"/>
      <c r="G50" s="7">
        <f>100</f>
        <v>100</v>
      </c>
      <c r="H50" s="7">
        <f>100</f>
        <v>100</v>
      </c>
      <c r="I50" s="7">
        <f>100</f>
        <v>100</v>
      </c>
      <c r="J50" s="142">
        <f>750/60*0+15/12</f>
        <v>1.25</v>
      </c>
      <c r="K50" s="146">
        <f t="shared" si="7"/>
        <v>1.31</v>
      </c>
      <c r="L50" s="146">
        <f t="shared" si="7"/>
        <v>1.38</v>
      </c>
      <c r="M50" s="7">
        <f t="shared" si="9"/>
        <v>375</v>
      </c>
      <c r="N50" s="7">
        <f t="shared" si="10"/>
        <v>1572</v>
      </c>
      <c r="O50" s="7">
        <f t="shared" si="11"/>
        <v>828</v>
      </c>
      <c r="P50" s="159">
        <f t="shared" si="14"/>
        <v>0.08</v>
      </c>
      <c r="Q50" s="160">
        <f t="shared" ref="Q50:Q51" si="25">ROUND(M50*$P$31+M50,2)</f>
        <v>405</v>
      </c>
      <c r="R50" s="161">
        <f t="shared" si="23"/>
        <v>1697.76</v>
      </c>
      <c r="S50" s="164">
        <f t="shared" si="23"/>
        <v>894.24</v>
      </c>
    </row>
    <row r="51" spans="1:19" s="130" customFormat="1" ht="57" x14ac:dyDescent="0.25">
      <c r="A51" s="128" t="s">
        <v>192</v>
      </c>
      <c r="B51" s="129" t="s">
        <v>198</v>
      </c>
      <c r="C51" s="165" t="s">
        <v>193</v>
      </c>
      <c r="D51" s="165" t="s">
        <v>191</v>
      </c>
      <c r="E51" s="166" t="s">
        <v>169</v>
      </c>
      <c r="F51" s="167" t="s">
        <v>202</v>
      </c>
      <c r="G51" s="168">
        <f>SUM(E10:E13)*0.3/0.005*0</f>
        <v>0</v>
      </c>
      <c r="H51" s="168">
        <f>SUM(F10:F13)*0.3/0.005*0</f>
        <v>0</v>
      </c>
      <c r="I51" s="168">
        <f>SUM(G10:G13)*0.3/0.005*0</f>
        <v>0</v>
      </c>
      <c r="J51" s="169">
        <f>J47</f>
        <v>0.41666666666666669</v>
      </c>
      <c r="K51" s="169">
        <f t="shared" si="7"/>
        <v>0.44</v>
      </c>
      <c r="L51" s="169">
        <f t="shared" si="7"/>
        <v>0.46</v>
      </c>
      <c r="M51" s="168">
        <f>G51*J51</f>
        <v>0</v>
      </c>
      <c r="N51" s="168">
        <f>H51*K51</f>
        <v>0</v>
      </c>
      <c r="O51" s="168">
        <f>I51*L51</f>
        <v>0</v>
      </c>
      <c r="P51" s="168">
        <f t="shared" si="14"/>
        <v>0.08</v>
      </c>
      <c r="Q51" s="170">
        <f t="shared" si="25"/>
        <v>0</v>
      </c>
      <c r="R51" s="170">
        <f t="shared" si="23"/>
        <v>0</v>
      </c>
      <c r="S51" s="151">
        <f t="shared" si="23"/>
        <v>0</v>
      </c>
    </row>
    <row r="52" spans="1:19" ht="56.25" customHeight="1" x14ac:dyDescent="0.25">
      <c r="D52" s="75" t="s">
        <v>207</v>
      </c>
      <c r="F52" s="238"/>
      <c r="Q52" s="74" t="e">
        <f>SUM(Q31:Q51)-Q35</f>
        <v>#REF!</v>
      </c>
      <c r="R52" s="74" t="e">
        <f t="shared" ref="R52:S52" si="26">SUM(R31:R51)-R35</f>
        <v>#REF!</v>
      </c>
      <c r="S52" s="74" t="e">
        <f t="shared" si="26"/>
        <v>#REF!</v>
      </c>
    </row>
    <row r="53" spans="1:19" ht="33.75" customHeight="1" x14ac:dyDescent="0.25">
      <c r="D53" s="106" t="s">
        <v>107</v>
      </c>
      <c r="F53" s="239"/>
      <c r="Q53" s="235" t="e">
        <f>SUM(Q52:S52)</f>
        <v>#REF!</v>
      </c>
      <c r="R53" s="235"/>
      <c r="S53" s="235"/>
    </row>
    <row r="54" spans="1:19" x14ac:dyDescent="0.25">
      <c r="C54" s="107" t="s">
        <v>208</v>
      </c>
      <c r="D54" s="108"/>
      <c r="E54" s="102"/>
      <c r="F54" s="102"/>
      <c r="G54" s="102" t="e">
        <f>((G31+G39+G43+G47+G48)*120+(G32+G40+G44)*180+(G33+G37+G41+G45+G49)*220+(G34+G38+G42+G46+G50)*750)/60*39</f>
        <v>#REF!</v>
      </c>
      <c r="H54" s="102" t="s">
        <v>203</v>
      </c>
      <c r="I54" s="102"/>
      <c r="J54" s="103"/>
      <c r="K54" s="103"/>
      <c r="L54" s="103"/>
      <c r="M54" s="102"/>
      <c r="N54" s="102"/>
      <c r="O54" s="102"/>
      <c r="P54" s="104"/>
      <c r="Q54" s="105" t="e">
        <f>Q52/$Q$53*$G$54*0</f>
        <v>#REF!</v>
      </c>
      <c r="R54" s="105" t="e">
        <f>R52/$Q$53*$G$54*0</f>
        <v>#REF!</v>
      </c>
      <c r="S54" s="105" t="e">
        <f>S52/$Q$53*$G$54*0</f>
        <v>#REF!</v>
      </c>
    </row>
    <row r="56" spans="1:19" ht="30" x14ac:dyDescent="0.25">
      <c r="C56" s="110" t="s">
        <v>189</v>
      </c>
      <c r="D56" s="96">
        <v>2020</v>
      </c>
      <c r="E56" s="96">
        <v>2021</v>
      </c>
      <c r="F56" s="96">
        <v>2022</v>
      </c>
      <c r="Q56" s="25"/>
      <c r="R56" s="25"/>
      <c r="S56" s="25"/>
    </row>
    <row r="57" spans="1:19" x14ac:dyDescent="0.25">
      <c r="C57" s="111" t="s">
        <v>183</v>
      </c>
      <c r="D57" s="114">
        <f>'przetwarzanie odpadów'!E68</f>
        <v>301342.5</v>
      </c>
      <c r="E57" s="114">
        <f>'przetwarzanie odpadów'!F68</f>
        <v>1446444</v>
      </c>
      <c r="F57" s="114">
        <f>'przetwarzanie odpadów'!G68</f>
        <v>867866.4</v>
      </c>
    </row>
    <row r="58" spans="1:19" x14ac:dyDescent="0.25">
      <c r="C58" s="111" t="s">
        <v>184</v>
      </c>
      <c r="D58" s="114">
        <f>'przetwarzanie odpadów'!E69</f>
        <v>38937.5</v>
      </c>
      <c r="E58" s="114">
        <f>'przetwarzanie odpadów'!F69</f>
        <v>186900</v>
      </c>
      <c r="F58" s="114">
        <f>'przetwarzanie odpadów'!G69</f>
        <v>112140</v>
      </c>
    </row>
    <row r="59" spans="1:19" x14ac:dyDescent="0.25">
      <c r="C59" s="111" t="s">
        <v>194</v>
      </c>
      <c r="D59" s="114">
        <f>L17</f>
        <v>435132</v>
      </c>
      <c r="E59" s="114">
        <f>M17</f>
        <v>1883559.0959999999</v>
      </c>
      <c r="F59" s="114">
        <f>N17</f>
        <v>1018478.8800000001</v>
      </c>
    </row>
    <row r="60" spans="1:19" x14ac:dyDescent="0.25">
      <c r="C60" s="111" t="s">
        <v>185</v>
      </c>
      <c r="D60" s="114">
        <f>L24</f>
        <v>8100</v>
      </c>
      <c r="E60" s="114">
        <f>M24</f>
        <v>8505</v>
      </c>
      <c r="F60" s="114">
        <f>E60</f>
        <v>8505</v>
      </c>
    </row>
    <row r="61" spans="1:19" x14ac:dyDescent="0.25">
      <c r="C61" s="111" t="s">
        <v>204</v>
      </c>
      <c r="D61" s="114" t="e">
        <f>Q52</f>
        <v>#REF!</v>
      </c>
      <c r="E61" s="114" t="e">
        <f>R52</f>
        <v>#REF!</v>
      </c>
      <c r="F61" s="114" t="e">
        <f t="shared" ref="F61" si="27">S52</f>
        <v>#REF!</v>
      </c>
    </row>
    <row r="62" spans="1:19" s="47" customFormat="1" x14ac:dyDescent="0.25">
      <c r="A62" s="87"/>
      <c r="C62" s="112" t="s">
        <v>186</v>
      </c>
      <c r="D62" s="115">
        <f>E62/12*3</f>
        <v>50000</v>
      </c>
      <c r="E62" s="115">
        <v>200000</v>
      </c>
      <c r="F62" s="115">
        <f>E62/12*6</f>
        <v>100000</v>
      </c>
    </row>
    <row r="63" spans="1:19" x14ac:dyDescent="0.25">
      <c r="C63" s="110" t="s">
        <v>187</v>
      </c>
      <c r="D63" s="116" t="e">
        <f>SUM(D57:D62)</f>
        <v>#REF!</v>
      </c>
      <c r="E63" s="116" t="e">
        <f>SUM(E57:E62)</f>
        <v>#REF!</v>
      </c>
      <c r="F63" s="116" t="e">
        <f>SUM(F57:F62)</f>
        <v>#REF!</v>
      </c>
    </row>
    <row r="64" spans="1:19" x14ac:dyDescent="0.25">
      <c r="C64" s="111" t="s">
        <v>188</v>
      </c>
      <c r="D64" s="114"/>
      <c r="E64" s="114">
        <v>16000</v>
      </c>
      <c r="F64" s="114"/>
    </row>
    <row r="65" spans="3:14" ht="21" x14ac:dyDescent="0.35">
      <c r="C65" s="124" t="s">
        <v>190</v>
      </c>
      <c r="D65" s="125" t="e">
        <f>D63/E64/3</f>
        <v>#REF!</v>
      </c>
      <c r="E65" s="125" t="e">
        <f>ROUND(E63/E64/12,2)</f>
        <v>#REF!</v>
      </c>
      <c r="F65" s="125" t="e">
        <f>F63/E64/6</f>
        <v>#REF!</v>
      </c>
    </row>
    <row r="66" spans="3:14" x14ac:dyDescent="0.25">
      <c r="C66" s="202" t="s">
        <v>423</v>
      </c>
      <c r="D66" s="201" t="e">
        <f>SUM(D57:D61)/SUM(E9:E16)</f>
        <v>#REF!</v>
      </c>
      <c r="E66" s="201" t="e">
        <f t="shared" ref="E66:F66" si="28">SUM(E57:E61)/SUM(F9:F16)</f>
        <v>#REF!</v>
      </c>
      <c r="F66" s="201" t="e">
        <f t="shared" si="28"/>
        <v>#REF!</v>
      </c>
    </row>
    <row r="67" spans="3:14" hidden="1" x14ac:dyDescent="0.25"/>
    <row r="68" spans="3:14" hidden="1" x14ac:dyDescent="0.25"/>
    <row r="69" spans="3:14" hidden="1" x14ac:dyDescent="0.25">
      <c r="C69" s="187" t="s">
        <v>213</v>
      </c>
    </row>
    <row r="70" spans="3:14" hidden="1" x14ac:dyDescent="0.25"/>
    <row r="71" spans="3:14" ht="45" hidden="1" x14ac:dyDescent="0.25">
      <c r="C71" s="184" t="s">
        <v>229</v>
      </c>
      <c r="D71" s="147" t="s">
        <v>217</v>
      </c>
      <c r="E71" s="1" t="s">
        <v>218</v>
      </c>
      <c r="F71" s="1" t="s">
        <v>227</v>
      </c>
      <c r="G71" s="181" t="s">
        <v>222</v>
      </c>
      <c r="H71" s="178" t="s">
        <v>233</v>
      </c>
      <c r="I71" s="179"/>
      <c r="J71" s="182" t="s">
        <v>224</v>
      </c>
    </row>
    <row r="72" spans="3:14" hidden="1" x14ac:dyDescent="0.25">
      <c r="C72" s="1" t="s">
        <v>215</v>
      </c>
      <c r="D72" s="147">
        <f>G47+G48</f>
        <v>3850</v>
      </c>
      <c r="E72" s="1">
        <v>120</v>
      </c>
      <c r="F72" s="1">
        <f>E72*1.23</f>
        <v>147.6</v>
      </c>
      <c r="G72" s="181">
        <f>F72*D72</f>
        <v>568260</v>
      </c>
      <c r="H72" s="178">
        <v>5</v>
      </c>
      <c r="I72" s="179">
        <f>D72*H72</f>
        <v>19250</v>
      </c>
      <c r="J72" s="183">
        <f>G72+I72</f>
        <v>587510</v>
      </c>
    </row>
    <row r="73" spans="3:14" hidden="1" x14ac:dyDescent="0.25">
      <c r="C73" s="1" t="s">
        <v>221</v>
      </c>
      <c r="D73" s="147">
        <f>G49</f>
        <v>100</v>
      </c>
      <c r="E73" s="1">
        <v>220</v>
      </c>
      <c r="F73" s="1">
        <f t="shared" ref="F73:F74" si="29">E73*1.23</f>
        <v>270.60000000000002</v>
      </c>
      <c r="G73" s="181">
        <f t="shared" ref="G73:G74" si="30">F73*D73</f>
        <v>27060.000000000004</v>
      </c>
      <c r="H73" s="178">
        <v>5</v>
      </c>
      <c r="I73" s="179">
        <f t="shared" ref="I73:I74" si="31">D73*H73</f>
        <v>500</v>
      </c>
      <c r="J73" s="183">
        <f>G73+I73</f>
        <v>27560.000000000004</v>
      </c>
    </row>
    <row r="74" spans="3:14" hidden="1" x14ac:dyDescent="0.25">
      <c r="C74" s="1" t="s">
        <v>216</v>
      </c>
      <c r="D74" s="147">
        <f>G50</f>
        <v>100</v>
      </c>
      <c r="E74" s="1">
        <v>750</v>
      </c>
      <c r="F74" s="1">
        <f t="shared" si="29"/>
        <v>922.5</v>
      </c>
      <c r="G74" s="181">
        <f t="shared" si="30"/>
        <v>92250</v>
      </c>
      <c r="H74" s="178">
        <v>10</v>
      </c>
      <c r="I74" s="179">
        <f t="shared" si="31"/>
        <v>1000</v>
      </c>
      <c r="J74" s="183">
        <f>G74+I74</f>
        <v>93250</v>
      </c>
    </row>
    <row r="75" spans="3:14" hidden="1" x14ac:dyDescent="0.25">
      <c r="J75" s="185">
        <f>SUM(J72:J74)</f>
        <v>708320</v>
      </c>
      <c r="L75">
        <f>SUM($I72:$I74)+SUM($G72:$G74)/60*3</f>
        <v>55128.5</v>
      </c>
      <c r="M75">
        <f>SUM($I72:$I74)*0+SUM($G72:$G74)/60*12</f>
        <v>137514</v>
      </c>
      <c r="N75">
        <f>SUM($I72:$I74)*0+SUM($G72:$G74)/60*6</f>
        <v>68757</v>
      </c>
    </row>
    <row r="76" spans="3:14" ht="45" hidden="1" x14ac:dyDescent="0.25">
      <c r="C76" s="180" t="s">
        <v>225</v>
      </c>
      <c r="D76" s="147" t="s">
        <v>217</v>
      </c>
      <c r="E76" s="1" t="s">
        <v>218</v>
      </c>
      <c r="F76" s="1" t="s">
        <v>227</v>
      </c>
      <c r="G76" s="181" t="s">
        <v>222</v>
      </c>
      <c r="H76" s="178" t="s">
        <v>223</v>
      </c>
      <c r="I76" s="179"/>
      <c r="J76" s="182" t="s">
        <v>224</v>
      </c>
    </row>
    <row r="77" spans="3:14" hidden="1" x14ac:dyDescent="0.25">
      <c r="C77" s="1" t="s">
        <v>226</v>
      </c>
      <c r="D77" s="147">
        <f>G39</f>
        <v>650</v>
      </c>
      <c r="E77" s="1">
        <v>120</v>
      </c>
      <c r="F77" s="1">
        <f>E77*1.23</f>
        <v>147.6</v>
      </c>
      <c r="G77" s="181">
        <f>F77*D77</f>
        <v>95940</v>
      </c>
      <c r="H77" s="178">
        <v>5</v>
      </c>
      <c r="I77" s="179">
        <f>D77*H77</f>
        <v>3250</v>
      </c>
      <c r="J77" s="183">
        <f>G77+I77</f>
        <v>99190</v>
      </c>
    </row>
    <row r="78" spans="3:14" hidden="1" x14ac:dyDescent="0.25">
      <c r="C78" s="1" t="s">
        <v>220</v>
      </c>
      <c r="D78" s="147">
        <f t="shared" ref="D78:D80" si="32">G40</f>
        <v>3200</v>
      </c>
      <c r="E78" s="1">
        <v>180</v>
      </c>
      <c r="F78" s="1">
        <f t="shared" ref="F78:F80" si="33">E78*1.23</f>
        <v>221.4</v>
      </c>
      <c r="G78" s="181">
        <f t="shared" ref="G78:G79" si="34">F78*D78</f>
        <v>708480</v>
      </c>
      <c r="H78" s="178">
        <v>5</v>
      </c>
      <c r="I78" s="179">
        <f t="shared" ref="I78:I79" si="35">D78*H78</f>
        <v>16000</v>
      </c>
      <c r="J78" s="183">
        <f>G78+I78</f>
        <v>724480</v>
      </c>
    </row>
    <row r="79" spans="3:14" hidden="1" x14ac:dyDescent="0.25">
      <c r="C79" s="1" t="s">
        <v>221</v>
      </c>
      <c r="D79" s="147">
        <f t="shared" si="32"/>
        <v>100</v>
      </c>
      <c r="E79" s="1">
        <v>220</v>
      </c>
      <c r="F79" s="1">
        <f t="shared" si="33"/>
        <v>270.60000000000002</v>
      </c>
      <c r="G79" s="181">
        <f t="shared" si="34"/>
        <v>27060.000000000004</v>
      </c>
      <c r="H79" s="178">
        <v>7</v>
      </c>
      <c r="I79" s="179">
        <f t="shared" si="35"/>
        <v>700</v>
      </c>
      <c r="J79" s="183">
        <f t="shared" ref="J79" si="36">G79+I79</f>
        <v>27760.000000000004</v>
      </c>
    </row>
    <row r="80" spans="3:14" hidden="1" x14ac:dyDescent="0.25">
      <c r="C80" s="1" t="s">
        <v>216</v>
      </c>
      <c r="D80" s="147" t="e">
        <f t="shared" si="32"/>
        <v>#REF!</v>
      </c>
      <c r="E80" s="1">
        <v>750</v>
      </c>
      <c r="F80" s="1">
        <f t="shared" si="33"/>
        <v>922.5</v>
      </c>
      <c r="G80" s="181" t="e">
        <f>F80*D80</f>
        <v>#REF!</v>
      </c>
      <c r="H80" s="178">
        <v>10</v>
      </c>
      <c r="I80" s="179" t="e">
        <f t="shared" ref="I80" si="37">D80*H80</f>
        <v>#REF!</v>
      </c>
      <c r="J80" s="183" t="e">
        <f>G80+I80</f>
        <v>#REF!</v>
      </c>
    </row>
    <row r="81" spans="3:14" hidden="1" x14ac:dyDescent="0.25">
      <c r="J81" s="183" t="e">
        <f>SUM(J77:J80)</f>
        <v>#REF!</v>
      </c>
      <c r="M81" t="e">
        <f>SUM($I77:$I80)+SUM($G77:$G80)/60*12</f>
        <v>#REF!</v>
      </c>
      <c r="N81" t="e">
        <f>SUM($I77:$I80)*0+SUM($G77:$G80)/60*6</f>
        <v>#REF!</v>
      </c>
    </row>
    <row r="82" spans="3:14" ht="45" hidden="1" x14ac:dyDescent="0.25">
      <c r="C82" s="180" t="s">
        <v>228</v>
      </c>
      <c r="D82" s="147" t="s">
        <v>217</v>
      </c>
      <c r="E82" s="1" t="s">
        <v>218</v>
      </c>
      <c r="F82" s="1" t="s">
        <v>227</v>
      </c>
      <c r="G82" s="181" t="s">
        <v>222</v>
      </c>
      <c r="H82" s="178" t="s">
        <v>223</v>
      </c>
      <c r="I82" s="179"/>
      <c r="J82" s="182" t="s">
        <v>224</v>
      </c>
      <c r="L82" t="s">
        <v>230</v>
      </c>
    </row>
    <row r="83" spans="3:14" hidden="1" x14ac:dyDescent="0.25">
      <c r="C83" s="1" t="s">
        <v>226</v>
      </c>
      <c r="D83" s="147">
        <f>G43</f>
        <v>2560</v>
      </c>
      <c r="E83" s="1">
        <v>120</v>
      </c>
      <c r="F83" s="1">
        <f>E83*1.23</f>
        <v>147.6</v>
      </c>
      <c r="G83" s="181">
        <f>F83*D83</f>
        <v>377856</v>
      </c>
      <c r="H83" s="178">
        <v>5</v>
      </c>
      <c r="I83" s="179">
        <f>D83*H83</f>
        <v>12800</v>
      </c>
      <c r="J83" s="183">
        <f>G83+I83</f>
        <v>390656</v>
      </c>
    </row>
    <row r="84" spans="3:14" hidden="1" x14ac:dyDescent="0.25">
      <c r="C84" s="1" t="s">
        <v>220</v>
      </c>
      <c r="D84" s="147">
        <f t="shared" ref="D84:D86" si="38">G44</f>
        <v>520</v>
      </c>
      <c r="E84" s="1">
        <v>180</v>
      </c>
      <c r="F84" s="1">
        <f t="shared" ref="F84:F86" si="39">E84*1.23</f>
        <v>221.4</v>
      </c>
      <c r="G84" s="181">
        <f t="shared" ref="G84:G85" si="40">F84*D84</f>
        <v>115128</v>
      </c>
      <c r="H84" s="178">
        <v>5</v>
      </c>
      <c r="I84" s="179">
        <f t="shared" ref="I84:I86" si="41">D84*H84</f>
        <v>2600</v>
      </c>
      <c r="J84" s="183">
        <f>G84+I84</f>
        <v>117728</v>
      </c>
    </row>
    <row r="85" spans="3:14" hidden="1" x14ac:dyDescent="0.25">
      <c r="C85" s="1" t="s">
        <v>221</v>
      </c>
      <c r="D85" s="147">
        <f t="shared" si="38"/>
        <v>100</v>
      </c>
      <c r="E85" s="1">
        <v>220</v>
      </c>
      <c r="F85" s="1">
        <f t="shared" si="39"/>
        <v>270.60000000000002</v>
      </c>
      <c r="G85" s="181">
        <f t="shared" si="40"/>
        <v>27060.000000000004</v>
      </c>
      <c r="H85" s="178">
        <v>7</v>
      </c>
      <c r="I85" s="179">
        <f t="shared" si="41"/>
        <v>700</v>
      </c>
      <c r="J85" s="183">
        <f t="shared" ref="J85" si="42">G85+I85</f>
        <v>27760.000000000004</v>
      </c>
    </row>
    <row r="86" spans="3:14" hidden="1" x14ac:dyDescent="0.25">
      <c r="C86" s="1" t="s">
        <v>216</v>
      </c>
      <c r="D86" s="147" t="e">
        <f t="shared" si="38"/>
        <v>#REF!</v>
      </c>
      <c r="E86" s="1">
        <v>750</v>
      </c>
      <c r="F86" s="1">
        <f t="shared" si="39"/>
        <v>922.5</v>
      </c>
      <c r="G86" s="181" t="e">
        <f>F86*D86</f>
        <v>#REF!</v>
      </c>
      <c r="H86" s="178">
        <v>10</v>
      </c>
      <c r="I86" s="179" t="e">
        <f t="shared" si="41"/>
        <v>#REF!</v>
      </c>
      <c r="J86" s="183" t="e">
        <f>G86+I86</f>
        <v>#REF!</v>
      </c>
    </row>
    <row r="87" spans="3:14" hidden="1" x14ac:dyDescent="0.25">
      <c r="J87" s="183" t="e">
        <f>SUM(J83:J86)</f>
        <v>#REF!</v>
      </c>
    </row>
    <row r="89" spans="3:14" x14ac:dyDescent="0.25">
      <c r="C89" s="120" t="s">
        <v>232</v>
      </c>
      <c r="D89" s="188" t="e">
        <f>Q54+SUM($I72:$I75)+SUM($G72:$G74)/60*3</f>
        <v>#REF!</v>
      </c>
      <c r="E89" s="188" t="e">
        <f>R54-SUM(R39:R42)+SUM($I72:$I74)*0+SUM($G72:$G74)/60*12+SUM($I77:$I80)+SUM($G77:$G80)/60*12</f>
        <v>#REF!</v>
      </c>
      <c r="F89" s="188" t="e">
        <f>S54-SUM(S39:S42)*0+SUM($I72:$I74)*0+SUM($G72:$G74)/60*6+SUM($I77:$I80)*0+SUM($G77:$G80)/60*6</f>
        <v>#REF!</v>
      </c>
      <c r="K89" t="s">
        <v>231</v>
      </c>
      <c r="L89">
        <f>L75+L81</f>
        <v>55128.5</v>
      </c>
      <c r="M89" s="186" t="e">
        <f>M75+M81-SUM(R39:R42)</f>
        <v>#REF!</v>
      </c>
      <c r="N89" s="186" t="e">
        <f>N75+N81</f>
        <v>#REF!</v>
      </c>
    </row>
    <row r="90" spans="3:14" x14ac:dyDescent="0.25">
      <c r="C90" s="122" t="s">
        <v>187</v>
      </c>
      <c r="D90" s="123" t="e">
        <f>D63+D89</f>
        <v>#REF!</v>
      </c>
      <c r="E90" s="123" t="e">
        <f>E63+E89</f>
        <v>#REF!</v>
      </c>
      <c r="F90" s="123" t="e">
        <f>F63+F89</f>
        <v>#REF!</v>
      </c>
    </row>
    <row r="91" spans="3:14" ht="21" x14ac:dyDescent="0.35">
      <c r="C91" s="124" t="s">
        <v>190</v>
      </c>
      <c r="D91" s="125" t="e">
        <f>D90/$E$64/3</f>
        <v>#REF!</v>
      </c>
      <c r="E91" s="125" t="e">
        <f>E90/$E$64/12</f>
        <v>#REF!</v>
      </c>
      <c r="F91" s="125" t="e">
        <f>F90/$E$64/6</f>
        <v>#REF!</v>
      </c>
    </row>
    <row r="96" spans="3:14" ht="30" x14ac:dyDescent="0.25">
      <c r="C96" s="176" t="s">
        <v>209</v>
      </c>
      <c r="D96" s="177">
        <v>2020</v>
      </c>
      <c r="E96" s="176">
        <v>2021</v>
      </c>
      <c r="F96" s="176">
        <v>2022</v>
      </c>
      <c r="G96" s="177" t="s">
        <v>210</v>
      </c>
    </row>
    <row r="97" spans="3:10" x14ac:dyDescent="0.25">
      <c r="C97" s="173" t="s">
        <v>212</v>
      </c>
      <c r="D97" s="174" t="e">
        <f>SUM(Q35:Q38)</f>
        <v>#REF!</v>
      </c>
      <c r="E97" s="174" t="e">
        <f>SUM(R35:R38)</f>
        <v>#REF!</v>
      </c>
      <c r="F97" s="174" t="e">
        <f>SUM(S35:S38)</f>
        <v>#REF!</v>
      </c>
      <c r="G97" s="173" t="e">
        <f>SUM(D97:F97)</f>
        <v>#REF!</v>
      </c>
      <c r="J97">
        <f>5*4000</f>
        <v>20000</v>
      </c>
    </row>
    <row r="98" spans="3:10" x14ac:dyDescent="0.25">
      <c r="C98" s="173" t="s">
        <v>211</v>
      </c>
      <c r="D98" s="174">
        <v>45368.639999999999</v>
      </c>
      <c r="E98" s="174">
        <v>190675.3</v>
      </c>
      <c r="F98" s="174">
        <v>100127.02000000002</v>
      </c>
      <c r="G98" s="173">
        <f>SUM(D98:F98)</f>
        <v>336170.96</v>
      </c>
    </row>
  </sheetData>
  <mergeCells count="18">
    <mergeCell ref="H18:J18"/>
    <mergeCell ref="L18:N18"/>
    <mergeCell ref="L25:N25"/>
    <mergeCell ref="G35:G36"/>
    <mergeCell ref="H35:H36"/>
    <mergeCell ref="I35:I36"/>
    <mergeCell ref="J35:J36"/>
    <mergeCell ref="K35:K36"/>
    <mergeCell ref="L35:L36"/>
    <mergeCell ref="M35:M36"/>
    <mergeCell ref="F52:F53"/>
    <mergeCell ref="Q53:S53"/>
    <mergeCell ref="N35:N36"/>
    <mergeCell ref="O35:O36"/>
    <mergeCell ref="P35:P36"/>
    <mergeCell ref="Q35:Q36"/>
    <mergeCell ref="R35:R36"/>
    <mergeCell ref="S35:S3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S74"/>
  <sheetViews>
    <sheetView workbookViewId="0">
      <selection activeCell="G49" activeCellId="2" sqref="G31:G34 G37:G46 G49:G50"/>
    </sheetView>
  </sheetViews>
  <sheetFormatPr defaultRowHeight="15" x14ac:dyDescent="0.25"/>
  <cols>
    <col min="1" max="1" width="36.28515625" style="66" customWidth="1"/>
    <col min="3" max="3" width="53" customWidth="1"/>
    <col min="4" max="4" width="24.140625" style="66" customWidth="1"/>
    <col min="5" max="6" width="21" customWidth="1"/>
    <col min="7" max="7" width="17.5703125" customWidth="1"/>
    <col min="10" max="16" width="10.7109375" customWidth="1"/>
    <col min="17" max="17" width="13.42578125" bestFit="1" customWidth="1"/>
    <col min="18" max="18" width="15.140625" customWidth="1"/>
    <col min="19" max="19" width="14.28515625" customWidth="1"/>
  </cols>
  <sheetData>
    <row r="1" spans="3:15" ht="15.75" customHeight="1" x14ac:dyDescent="0.25"/>
    <row r="2" spans="3:15" x14ac:dyDescent="0.25">
      <c r="C2" s="64"/>
    </row>
    <row r="3" spans="3:15" x14ac:dyDescent="0.25">
      <c r="C3" s="65"/>
    </row>
    <row r="4" spans="3:15" x14ac:dyDescent="0.25">
      <c r="C4" s="65"/>
      <c r="F4" s="47"/>
    </row>
    <row r="5" spans="3:15" x14ac:dyDescent="0.25">
      <c r="C5" s="65"/>
      <c r="H5">
        <f>450*SUM(F9:F16)</f>
        <v>1908081.0000000002</v>
      </c>
    </row>
    <row r="6" spans="3:15" ht="30" x14ac:dyDescent="0.25">
      <c r="C6" s="65"/>
      <c r="D6" s="92" t="s">
        <v>149</v>
      </c>
      <c r="F6">
        <f>F13*1000/3800/4</f>
        <v>16.973684210526315</v>
      </c>
    </row>
    <row r="7" spans="3:15" x14ac:dyDescent="0.25">
      <c r="C7" s="65"/>
      <c r="H7" t="s">
        <v>200</v>
      </c>
      <c r="I7" s="97">
        <v>0.05</v>
      </c>
    </row>
    <row r="8" spans="3:15" ht="51" x14ac:dyDescent="0.25">
      <c r="C8" s="67" t="s">
        <v>44</v>
      </c>
      <c r="D8" s="67" t="s">
        <v>148</v>
      </c>
      <c r="E8" s="70" t="s">
        <v>139</v>
      </c>
      <c r="F8" s="70" t="s">
        <v>140</v>
      </c>
      <c r="G8" s="70" t="s">
        <v>141</v>
      </c>
      <c r="H8" s="70" t="s">
        <v>99</v>
      </c>
      <c r="I8" s="70" t="s">
        <v>100</v>
      </c>
      <c r="J8" s="70" t="s">
        <v>101</v>
      </c>
      <c r="K8" s="70" t="s">
        <v>102</v>
      </c>
      <c r="L8" s="70" t="s">
        <v>103</v>
      </c>
      <c r="M8" s="70" t="s">
        <v>104</v>
      </c>
      <c r="N8" s="70" t="s">
        <v>105</v>
      </c>
      <c r="O8" s="66"/>
    </row>
    <row r="9" spans="3:15" ht="25.5" x14ac:dyDescent="0.25">
      <c r="C9" s="68" t="s">
        <v>26</v>
      </c>
      <c r="D9" s="68" t="s">
        <v>89</v>
      </c>
      <c r="E9" s="79">
        <f>'wykaz cen przetwarzanie odpadów'!D9</f>
        <v>500</v>
      </c>
      <c r="F9" s="79">
        <f>'wykaz cen przetwarzanie odpadów'!E9</f>
        <v>2060</v>
      </c>
      <c r="G9" s="79">
        <f>'wykaz cen przetwarzanie odpadów'!F9</f>
        <v>1061</v>
      </c>
      <c r="H9" s="71">
        <v>250</v>
      </c>
      <c r="I9" s="71">
        <f t="shared" ref="I9:J16" si="0">ROUND(H9*$I$7+H9,0)</f>
        <v>263</v>
      </c>
      <c r="J9" s="71">
        <f t="shared" si="0"/>
        <v>276</v>
      </c>
      <c r="K9" s="72">
        <v>0.08</v>
      </c>
      <c r="L9" s="73">
        <f>ROUND(H9*E9+(H9*E9)*$K9,2)</f>
        <v>135000</v>
      </c>
      <c r="M9" s="73">
        <f>ROUND(I9*F9+(I9*F9)*$K9,2)</f>
        <v>585122.4</v>
      </c>
      <c r="N9" s="73">
        <f t="shared" ref="N9:N16" si="1">J9*G9+(J9*G9)*$K9</f>
        <v>316262.88</v>
      </c>
    </row>
    <row r="10" spans="3:15" ht="25.5" x14ac:dyDescent="0.25">
      <c r="C10" s="68" t="s">
        <v>29</v>
      </c>
      <c r="D10" s="68" t="s">
        <v>28</v>
      </c>
      <c r="E10" s="79">
        <f>'wykaz cen przetwarzanie odpadów'!D10</f>
        <v>210</v>
      </c>
      <c r="F10" s="79">
        <f>'wykaz cen przetwarzanie odpadów'!E10</f>
        <v>865</v>
      </c>
      <c r="G10" s="79">
        <f>'wykaz cen przetwarzanie odpadów'!F10</f>
        <v>445.5</v>
      </c>
      <c r="H10" s="71">
        <v>250</v>
      </c>
      <c r="I10" s="71">
        <f t="shared" si="0"/>
        <v>263</v>
      </c>
      <c r="J10" s="71">
        <f t="shared" si="0"/>
        <v>276</v>
      </c>
      <c r="K10" s="72">
        <f>K9</f>
        <v>0.08</v>
      </c>
      <c r="L10" s="73">
        <f t="shared" ref="L10:M16" si="2">H10*E10+(H10*E10)*$K10</f>
        <v>56700</v>
      </c>
      <c r="M10" s="73">
        <f t="shared" si="2"/>
        <v>245694.6</v>
      </c>
      <c r="N10" s="73">
        <f t="shared" si="1"/>
        <v>132794.64000000001</v>
      </c>
    </row>
    <row r="11" spans="3:15" ht="51.75" customHeight="1" x14ac:dyDescent="0.25">
      <c r="C11" s="68" t="s">
        <v>31</v>
      </c>
      <c r="D11" s="68" t="s">
        <v>90</v>
      </c>
      <c r="E11" s="79">
        <f>'wykaz cen przetwarzanie odpadów'!D11</f>
        <v>225</v>
      </c>
      <c r="F11" s="79">
        <f>'wykaz cen przetwarzanie odpadów'!E11</f>
        <v>927</v>
      </c>
      <c r="G11" s="79">
        <f>'wykaz cen przetwarzanie odpadów'!F11</f>
        <v>477.5</v>
      </c>
      <c r="H11" s="71">
        <v>800</v>
      </c>
      <c r="I11" s="71">
        <f t="shared" si="0"/>
        <v>840</v>
      </c>
      <c r="J11" s="71">
        <f t="shared" si="0"/>
        <v>882</v>
      </c>
      <c r="K11" s="72">
        <f t="shared" ref="K11:K15" si="3">K10</f>
        <v>0.08</v>
      </c>
      <c r="L11" s="73">
        <f t="shared" si="2"/>
        <v>194400</v>
      </c>
      <c r="M11" s="73">
        <f t="shared" si="2"/>
        <v>840974.4</v>
      </c>
      <c r="N11" s="73">
        <f t="shared" si="1"/>
        <v>454847.4</v>
      </c>
    </row>
    <row r="12" spans="3:15" x14ac:dyDescent="0.25">
      <c r="C12" s="68" t="s">
        <v>33</v>
      </c>
      <c r="D12" s="68" t="s">
        <v>91</v>
      </c>
      <c r="E12" s="79">
        <f>'wykaz cen przetwarzanie odpadów'!D12</f>
        <v>25</v>
      </c>
      <c r="F12" s="79">
        <f>'wykaz cen przetwarzanie odpadów'!E12</f>
        <v>103</v>
      </c>
      <c r="G12" s="79">
        <f>'wykaz cen przetwarzanie odpadów'!F12</f>
        <v>53</v>
      </c>
      <c r="H12" s="71">
        <v>600</v>
      </c>
      <c r="I12" s="71">
        <f t="shared" si="0"/>
        <v>630</v>
      </c>
      <c r="J12" s="71">
        <f t="shared" si="0"/>
        <v>662</v>
      </c>
      <c r="K12" s="72">
        <f t="shared" si="3"/>
        <v>0.08</v>
      </c>
      <c r="L12" s="73">
        <f t="shared" si="2"/>
        <v>16200</v>
      </c>
      <c r="M12" s="73">
        <f t="shared" si="2"/>
        <v>70081.2</v>
      </c>
      <c r="N12" s="73">
        <f t="shared" si="1"/>
        <v>37892.879999999997</v>
      </c>
    </row>
    <row r="13" spans="3:15" x14ac:dyDescent="0.25">
      <c r="C13" s="68" t="s">
        <v>34</v>
      </c>
      <c r="D13" s="68" t="s">
        <v>92</v>
      </c>
      <c r="E13" s="79">
        <f>'wykaz cen przetwarzanie odpadów'!D13</f>
        <v>63</v>
      </c>
      <c r="F13" s="79">
        <f>'wykaz cen przetwarzanie odpadów'!E13</f>
        <v>258</v>
      </c>
      <c r="G13" s="79">
        <f>'wykaz cen przetwarzanie odpadów'!F13</f>
        <v>133</v>
      </c>
      <c r="H13" s="71">
        <v>400</v>
      </c>
      <c r="I13" s="71">
        <f t="shared" si="0"/>
        <v>420</v>
      </c>
      <c r="J13" s="71">
        <f t="shared" si="0"/>
        <v>441</v>
      </c>
      <c r="K13" s="72">
        <f t="shared" si="3"/>
        <v>0.08</v>
      </c>
      <c r="L13" s="73">
        <f t="shared" si="2"/>
        <v>27216</v>
      </c>
      <c r="M13" s="73">
        <f t="shared" si="2"/>
        <v>117028.8</v>
      </c>
      <c r="N13" s="73">
        <f t="shared" si="1"/>
        <v>63345.24</v>
      </c>
    </row>
    <row r="14" spans="3:15" ht="25.5" x14ac:dyDescent="0.25">
      <c r="C14" s="68" t="s">
        <v>8</v>
      </c>
      <c r="D14" s="68" t="s">
        <v>93</v>
      </c>
      <c r="E14" s="79">
        <f>'wykaz cen przetwarzanie odpadów'!D14</f>
        <v>5</v>
      </c>
      <c r="F14" s="79">
        <f>'wykaz cen przetwarzanie odpadów'!E14</f>
        <v>21</v>
      </c>
      <c r="G14" s="79">
        <f>'wykaz cen przetwarzanie odpadów'!F14</f>
        <v>11</v>
      </c>
      <c r="H14" s="71">
        <v>800</v>
      </c>
      <c r="I14" s="71">
        <f t="shared" si="0"/>
        <v>840</v>
      </c>
      <c r="J14" s="71">
        <f t="shared" si="0"/>
        <v>882</v>
      </c>
      <c r="K14" s="72">
        <f t="shared" si="3"/>
        <v>0.08</v>
      </c>
      <c r="L14" s="73">
        <f t="shared" si="2"/>
        <v>4320</v>
      </c>
      <c r="M14" s="73">
        <f t="shared" si="2"/>
        <v>19051.2</v>
      </c>
      <c r="N14" s="73">
        <f t="shared" si="1"/>
        <v>10478.16</v>
      </c>
    </row>
    <row r="15" spans="3:15" ht="38.25" x14ac:dyDescent="0.25">
      <c r="C15" s="68" t="s">
        <v>39</v>
      </c>
      <c r="D15" s="68" t="s">
        <v>94</v>
      </c>
      <c r="E15" s="79">
        <f>'wykaz cen przetwarzanie odpadów'!D15</f>
        <v>0.5</v>
      </c>
      <c r="F15" s="79">
        <f>'wykaz cen przetwarzanie odpadów'!E15</f>
        <v>2.06</v>
      </c>
      <c r="G15" s="79">
        <f>'wykaz cen przetwarzanie odpadów'!F15</f>
        <v>1</v>
      </c>
      <c r="H15" s="71">
        <v>800</v>
      </c>
      <c r="I15" s="71">
        <f t="shared" si="0"/>
        <v>840</v>
      </c>
      <c r="J15" s="71">
        <f t="shared" si="0"/>
        <v>882</v>
      </c>
      <c r="K15" s="72">
        <f t="shared" si="3"/>
        <v>0.08</v>
      </c>
      <c r="L15" s="73">
        <f>H15*E15+(H15*E15)*$K15</f>
        <v>432</v>
      </c>
      <c r="M15" s="73">
        <f t="shared" si="2"/>
        <v>1868.8320000000001</v>
      </c>
      <c r="N15" s="73">
        <f t="shared" si="1"/>
        <v>952.56</v>
      </c>
    </row>
    <row r="16" spans="3:15" x14ac:dyDescent="0.25">
      <c r="C16" s="68" t="s">
        <v>11</v>
      </c>
      <c r="D16" s="68" t="s">
        <v>98</v>
      </c>
      <c r="E16" s="79">
        <f>'wykaz cen przetwarzanie odpadów'!D19</f>
        <v>1</v>
      </c>
      <c r="F16" s="79">
        <f>'wykaz cen przetwarzanie odpadów'!E19</f>
        <v>4.12</v>
      </c>
      <c r="G16" s="79">
        <f>'wykaz cen przetwarzanie odpadów'!F19</f>
        <v>2</v>
      </c>
      <c r="H16" s="71">
        <v>800</v>
      </c>
      <c r="I16" s="71">
        <f t="shared" si="0"/>
        <v>840</v>
      </c>
      <c r="J16" s="71">
        <f t="shared" si="0"/>
        <v>882</v>
      </c>
      <c r="K16" s="72">
        <f>K23</f>
        <v>0.08</v>
      </c>
      <c r="L16" s="73">
        <f t="shared" si="2"/>
        <v>864</v>
      </c>
      <c r="M16" s="73">
        <f t="shared" si="2"/>
        <v>3737.6640000000002</v>
      </c>
      <c r="N16" s="73">
        <f t="shared" si="1"/>
        <v>1905.12</v>
      </c>
    </row>
    <row r="17" spans="1:19" ht="25.5" x14ac:dyDescent="0.25">
      <c r="D17" s="75" t="s">
        <v>106</v>
      </c>
      <c r="H17" s="50"/>
      <c r="I17" s="50"/>
      <c r="J17" s="50"/>
      <c r="K17" s="50"/>
      <c r="L17" s="74">
        <f>SUM(L9:L16)</f>
        <v>435132</v>
      </c>
      <c r="M17" s="74">
        <f>SUM(M9:M16)</f>
        <v>1883559.0959999999</v>
      </c>
      <c r="N17" s="74">
        <f>SUM(N9:N16)</f>
        <v>1018478.8800000001</v>
      </c>
    </row>
    <row r="18" spans="1:19" ht="25.5" x14ac:dyDescent="0.25">
      <c r="D18" s="75" t="s">
        <v>107</v>
      </c>
      <c r="H18" s="234"/>
      <c r="I18" s="234"/>
      <c r="J18" s="234"/>
      <c r="K18" s="50"/>
      <c r="L18" s="235">
        <f>SUM(L17:N17)</f>
        <v>3337169.9759999998</v>
      </c>
      <c r="M18" s="235"/>
      <c r="N18" s="235"/>
    </row>
    <row r="20" spans="1:19" ht="76.5" x14ac:dyDescent="0.25">
      <c r="C20" s="67" t="s">
        <v>44</v>
      </c>
      <c r="D20" s="67" t="s">
        <v>421</v>
      </c>
      <c r="E20" s="70" t="s">
        <v>139</v>
      </c>
      <c r="F20" s="70" t="s">
        <v>140</v>
      </c>
      <c r="G20" s="70" t="s">
        <v>141</v>
      </c>
      <c r="H20" s="70" t="s">
        <v>150</v>
      </c>
      <c r="I20" s="70" t="s">
        <v>151</v>
      </c>
      <c r="J20" s="70" t="s">
        <v>152</v>
      </c>
      <c r="K20" s="70" t="s">
        <v>102</v>
      </c>
      <c r="L20" s="70" t="s">
        <v>103</v>
      </c>
      <c r="M20" s="70" t="s">
        <v>104</v>
      </c>
      <c r="N20" s="70" t="s">
        <v>105</v>
      </c>
      <c r="P20" s="99" t="s">
        <v>195</v>
      </c>
    </row>
    <row r="21" spans="1:19" ht="25.5" x14ac:dyDescent="0.25">
      <c r="C21" s="68" t="s">
        <v>40</v>
      </c>
      <c r="D21" s="68" t="s">
        <v>95</v>
      </c>
      <c r="E21" s="217">
        <f>'wykaz cen przetwarzanie odpadów'!D16</f>
        <v>0.01</v>
      </c>
      <c r="F21" s="217">
        <f>'wykaz cen przetwarzanie odpadów'!E16</f>
        <v>0.05</v>
      </c>
      <c r="G21" s="217">
        <f>'wykaz cen przetwarzanie odpadów'!F16</f>
        <v>0</v>
      </c>
      <c r="H21" s="71">
        <v>2500</v>
      </c>
      <c r="I21" s="71">
        <f t="shared" ref="I21:J23" si="4">ROUND(H21*$I$7+H21,0)</f>
        <v>2625</v>
      </c>
      <c r="J21" s="71">
        <f t="shared" si="4"/>
        <v>2756</v>
      </c>
      <c r="K21" s="72">
        <v>0.08</v>
      </c>
      <c r="L21" s="73">
        <f>H21*E21+(H21*E21)*$K21</f>
        <v>27</v>
      </c>
      <c r="M21" s="73">
        <f t="shared" ref="M21" si="5">I21*F21+(I21*F21)*$K21</f>
        <v>141.75</v>
      </c>
      <c r="N21" s="73">
        <f t="shared" ref="N21" si="6">J21*G21+(J21*G21)*$K21</f>
        <v>0</v>
      </c>
    </row>
    <row r="22" spans="1:19" x14ac:dyDescent="0.25">
      <c r="C22" s="68" t="s">
        <v>42</v>
      </c>
      <c r="D22" s="68" t="s">
        <v>96</v>
      </c>
      <c r="E22" s="217">
        <f>'wykaz cen przetwarzanie odpadów'!D17+0.01</f>
        <v>0.01</v>
      </c>
      <c r="F22" s="217">
        <f>'wykaz cen przetwarzanie odpadów'!E17</f>
        <v>0.01</v>
      </c>
      <c r="G22" s="217">
        <f>'wykaz cen przetwarzanie odpadów'!F17</f>
        <v>0</v>
      </c>
      <c r="H22" s="71">
        <v>2500</v>
      </c>
      <c r="I22" s="71">
        <f t="shared" si="4"/>
        <v>2625</v>
      </c>
      <c r="J22" s="71">
        <f t="shared" si="4"/>
        <v>2756</v>
      </c>
      <c r="K22" s="72">
        <f>K21</f>
        <v>0.08</v>
      </c>
      <c r="L22" s="73">
        <f t="shared" ref="L22:L23" si="7">H22*E22+(H22*E22)*$K22</f>
        <v>27</v>
      </c>
      <c r="M22" s="73">
        <f t="shared" ref="M22:M23" si="8">I22*F22+(I22*F22)*$K22</f>
        <v>28.35</v>
      </c>
      <c r="N22" s="73">
        <f t="shared" ref="N22:N23" si="9">J22*G22+(J22*G22)*$K22</f>
        <v>0</v>
      </c>
    </row>
    <row r="23" spans="1:19" ht="25.5" x14ac:dyDescent="0.25">
      <c r="C23" s="68" t="s">
        <v>41</v>
      </c>
      <c r="D23" s="68" t="s">
        <v>97</v>
      </c>
      <c r="E23" s="217">
        <f>'wykaz cen przetwarzanie odpadów'!D18+0.01</f>
        <v>0.01</v>
      </c>
      <c r="F23" s="217">
        <f>'wykaz cen przetwarzanie odpadów'!E18</f>
        <v>0.01</v>
      </c>
      <c r="G23" s="217">
        <f>'wykaz cen przetwarzanie odpadów'!F18</f>
        <v>0</v>
      </c>
      <c r="H23" s="71">
        <v>2500</v>
      </c>
      <c r="I23" s="71">
        <f t="shared" si="4"/>
        <v>2625</v>
      </c>
      <c r="J23" s="71">
        <f t="shared" si="4"/>
        <v>2756</v>
      </c>
      <c r="K23" s="72">
        <f>K22</f>
        <v>0.08</v>
      </c>
      <c r="L23" s="73">
        <f t="shared" si="7"/>
        <v>27</v>
      </c>
      <c r="M23" s="73">
        <f t="shared" si="8"/>
        <v>28.35</v>
      </c>
      <c r="N23" s="73">
        <f t="shared" si="9"/>
        <v>0</v>
      </c>
    </row>
    <row r="24" spans="1:19" ht="25.5" x14ac:dyDescent="0.25">
      <c r="D24" s="75" t="s">
        <v>106</v>
      </c>
      <c r="L24" s="74">
        <f>SUM(L21:L23)</f>
        <v>81</v>
      </c>
      <c r="M24" s="74">
        <f t="shared" ref="M24:N24" si="10">SUM(M21:M23)</f>
        <v>198.45</v>
      </c>
      <c r="N24" s="74">
        <f t="shared" si="10"/>
        <v>0</v>
      </c>
    </row>
    <row r="25" spans="1:19" ht="25.5" x14ac:dyDescent="0.25">
      <c r="D25" s="75" t="s">
        <v>107</v>
      </c>
      <c r="L25" s="235">
        <f>SUM(L24:N24)</f>
        <v>279.45</v>
      </c>
      <c r="M25" s="235"/>
      <c r="N25" s="235"/>
    </row>
    <row r="28" spans="1:19" x14ac:dyDescent="0.25">
      <c r="C28" s="86"/>
    </row>
    <row r="29" spans="1:19" x14ac:dyDescent="0.25">
      <c r="H29" t="s">
        <v>201</v>
      </c>
      <c r="I29" s="97">
        <f>I7</f>
        <v>0.05</v>
      </c>
    </row>
    <row r="30" spans="1:19" ht="141" thickBot="1" x14ac:dyDescent="0.3">
      <c r="A30" s="87" t="s">
        <v>164</v>
      </c>
      <c r="C30" s="88" t="s">
        <v>154</v>
      </c>
      <c r="D30" s="88"/>
      <c r="E30" s="88" t="s">
        <v>486</v>
      </c>
      <c r="F30" s="100" t="s">
        <v>197</v>
      </c>
      <c r="G30" s="89" t="s">
        <v>155</v>
      </c>
      <c r="H30" s="89" t="s">
        <v>156</v>
      </c>
      <c r="I30" s="89" t="s">
        <v>157</v>
      </c>
      <c r="J30" s="89" t="s">
        <v>180</v>
      </c>
      <c r="K30" s="89" t="s">
        <v>181</v>
      </c>
      <c r="L30" s="89" t="s">
        <v>182</v>
      </c>
      <c r="M30" s="89" t="s">
        <v>177</v>
      </c>
      <c r="N30" s="89" t="s">
        <v>178</v>
      </c>
      <c r="O30" s="89" t="s">
        <v>179</v>
      </c>
      <c r="P30" s="89" t="s">
        <v>102</v>
      </c>
      <c r="Q30" s="89" t="s">
        <v>103</v>
      </c>
      <c r="R30" s="89" t="s">
        <v>104</v>
      </c>
      <c r="S30" s="89" t="s">
        <v>105</v>
      </c>
    </row>
    <row r="31" spans="1:19" ht="15.75" customHeight="1" x14ac:dyDescent="0.25">
      <c r="A31" s="87" t="s">
        <v>165</v>
      </c>
      <c r="C31" s="90" t="s">
        <v>159</v>
      </c>
      <c r="D31" s="152" t="s">
        <v>170</v>
      </c>
      <c r="E31" s="4" t="s">
        <v>160</v>
      </c>
      <c r="F31" s="135">
        <v>645</v>
      </c>
      <c r="G31" s="4">
        <v>650</v>
      </c>
      <c r="H31" s="4">
        <f>G31</f>
        <v>650</v>
      </c>
      <c r="I31" s="4">
        <f>H31</f>
        <v>650</v>
      </c>
      <c r="J31" s="136">
        <f>120/60+5/12*0.5</f>
        <v>2.2083333333333335</v>
      </c>
      <c r="K31" s="137">
        <f t="shared" ref="K31:L51" si="11">ROUND(J31*$I$29+J31,2)</f>
        <v>2.3199999999999998</v>
      </c>
      <c r="L31" s="137">
        <f t="shared" si="11"/>
        <v>2.44</v>
      </c>
      <c r="M31" s="138">
        <f>G31*J31*3</f>
        <v>4306.25</v>
      </c>
      <c r="N31" s="138">
        <f>H31*K31*12</f>
        <v>18096</v>
      </c>
      <c r="O31" s="138">
        <f>I31*L31*6</f>
        <v>9516</v>
      </c>
      <c r="P31" s="134">
        <v>0.08</v>
      </c>
      <c r="Q31" s="131">
        <f>ROUND(M31*$P$31+M31,2)</f>
        <v>4650.75</v>
      </c>
      <c r="R31" s="131">
        <f t="shared" ref="R31:S46" si="12">ROUND(N31*$P$31+N31,2)</f>
        <v>19543.68</v>
      </c>
      <c r="S31" s="139">
        <f t="shared" si="12"/>
        <v>10277.280000000001</v>
      </c>
    </row>
    <row r="32" spans="1:19" ht="16.5" customHeight="1" x14ac:dyDescent="0.25">
      <c r="A32" s="66">
        <f>150+3829</f>
        <v>3979</v>
      </c>
      <c r="C32" s="91"/>
      <c r="D32" s="147" t="s">
        <v>199</v>
      </c>
      <c r="E32" s="1" t="s">
        <v>161</v>
      </c>
      <c r="F32" s="101">
        <v>3282</v>
      </c>
      <c r="G32" s="1">
        <v>3200</v>
      </c>
      <c r="H32" s="1">
        <f>G32</f>
        <v>3200</v>
      </c>
      <c r="I32" s="1">
        <f>H32</f>
        <v>3200</v>
      </c>
      <c r="J32" s="94">
        <f>180/60+5/12*0.5</f>
        <v>3.2083333333333335</v>
      </c>
      <c r="K32" s="132">
        <f t="shared" si="11"/>
        <v>3.37</v>
      </c>
      <c r="L32" s="132">
        <f t="shared" si="11"/>
        <v>3.54</v>
      </c>
      <c r="M32" s="133">
        <f t="shared" ref="M32:M50" si="13">G32*J32*3</f>
        <v>30800.000000000004</v>
      </c>
      <c r="N32" s="133">
        <f t="shared" ref="N32:N50" si="14">H32*K32*12</f>
        <v>129408</v>
      </c>
      <c r="O32" s="133">
        <f t="shared" ref="O32:O50" si="15">I32*L32*6</f>
        <v>67968</v>
      </c>
      <c r="P32" s="148">
        <f>P31</f>
        <v>0.08</v>
      </c>
      <c r="Q32" s="149">
        <f t="shared" ref="Q32:S47" si="16">ROUND(M32*$P$31+M32,2)</f>
        <v>33264</v>
      </c>
      <c r="R32" s="149">
        <f t="shared" si="12"/>
        <v>139760.64000000001</v>
      </c>
      <c r="S32" s="153">
        <f t="shared" si="12"/>
        <v>73405.440000000002</v>
      </c>
    </row>
    <row r="33" spans="1:19" x14ac:dyDescent="0.25">
      <c r="C33" s="91"/>
      <c r="D33" s="147" t="s">
        <v>172</v>
      </c>
      <c r="E33" s="1" t="s">
        <v>161</v>
      </c>
      <c r="F33" s="101">
        <v>26</v>
      </c>
      <c r="G33" s="1">
        <v>100</v>
      </c>
      <c r="H33" s="1">
        <f t="shared" ref="H33:I34" si="17">G33</f>
        <v>100</v>
      </c>
      <c r="I33" s="1">
        <f t="shared" si="17"/>
        <v>100</v>
      </c>
      <c r="J33" s="94">
        <f>ROUND(220/60,1)+5/12*0.5</f>
        <v>3.9083333333333337</v>
      </c>
      <c r="K33" s="132">
        <f t="shared" si="11"/>
        <v>4.0999999999999996</v>
      </c>
      <c r="L33" s="132">
        <f t="shared" si="11"/>
        <v>4.3099999999999996</v>
      </c>
      <c r="M33" s="133">
        <f t="shared" si="13"/>
        <v>1172.5</v>
      </c>
      <c r="N33" s="133">
        <f t="shared" si="14"/>
        <v>4919.9999999999991</v>
      </c>
      <c r="O33" s="133">
        <f t="shared" si="15"/>
        <v>2585.9999999999995</v>
      </c>
      <c r="P33" s="148">
        <f t="shared" ref="P33:P51" si="18">P32</f>
        <v>0.08</v>
      </c>
      <c r="Q33" s="149">
        <f t="shared" si="16"/>
        <v>1266.3</v>
      </c>
      <c r="R33" s="149">
        <f t="shared" si="12"/>
        <v>5313.6</v>
      </c>
      <c r="S33" s="153">
        <f t="shared" si="12"/>
        <v>2792.88</v>
      </c>
    </row>
    <row r="34" spans="1:19" ht="16.5" customHeight="1" thickBot="1" x14ac:dyDescent="0.3">
      <c r="C34" s="140"/>
      <c r="D34" s="154" t="s">
        <v>173</v>
      </c>
      <c r="E34" s="7" t="s">
        <v>162</v>
      </c>
      <c r="F34" s="141">
        <f>85+12</f>
        <v>97</v>
      </c>
      <c r="G34" s="7" t="e">
        <f>#REF!</f>
        <v>#REF!</v>
      </c>
      <c r="H34" s="7" t="e">
        <f t="shared" si="17"/>
        <v>#REF!</v>
      </c>
      <c r="I34" s="7" t="e">
        <f t="shared" si="17"/>
        <v>#REF!</v>
      </c>
      <c r="J34" s="142">
        <f>750/60+15/12*0.5</f>
        <v>13.125</v>
      </c>
      <c r="K34" s="143">
        <f t="shared" si="11"/>
        <v>13.78</v>
      </c>
      <c r="L34" s="143">
        <f t="shared" si="11"/>
        <v>14.47</v>
      </c>
      <c r="M34" s="144" t="e">
        <f t="shared" si="13"/>
        <v>#REF!</v>
      </c>
      <c r="N34" s="144" t="e">
        <f t="shared" si="14"/>
        <v>#REF!</v>
      </c>
      <c r="O34" s="144" t="e">
        <f t="shared" si="15"/>
        <v>#REF!</v>
      </c>
      <c r="P34" s="155">
        <f t="shared" si="18"/>
        <v>0.08</v>
      </c>
      <c r="Q34" s="156" t="e">
        <f t="shared" si="16"/>
        <v>#REF!</v>
      </c>
      <c r="R34" s="156" t="e">
        <f t="shared" si="12"/>
        <v>#REF!</v>
      </c>
      <c r="S34" s="157" t="e">
        <f t="shared" si="12"/>
        <v>#REF!</v>
      </c>
    </row>
    <row r="35" spans="1:19" x14ac:dyDescent="0.25">
      <c r="C35" s="3" t="s">
        <v>163</v>
      </c>
      <c r="D35" s="152" t="s">
        <v>170</v>
      </c>
      <c r="E35" s="126" t="s">
        <v>169</v>
      </c>
      <c r="F35" s="135"/>
      <c r="G35" s="246">
        <f>ROUND(E12/0.003,-2)</f>
        <v>8300</v>
      </c>
      <c r="H35" s="246">
        <f t="shared" ref="H35:I35" si="19">ROUND(F12/0.003,-2)</f>
        <v>34300</v>
      </c>
      <c r="I35" s="246">
        <f t="shared" si="19"/>
        <v>17700</v>
      </c>
      <c r="J35" s="248">
        <v>0.4</v>
      </c>
      <c r="K35" s="250">
        <f t="shared" si="11"/>
        <v>0.42</v>
      </c>
      <c r="L35" s="250">
        <f t="shared" si="11"/>
        <v>0.44</v>
      </c>
      <c r="M35" s="240">
        <f t="shared" si="13"/>
        <v>9960</v>
      </c>
      <c r="N35" s="240">
        <f t="shared" si="14"/>
        <v>172872</v>
      </c>
      <c r="O35" s="240">
        <f t="shared" si="15"/>
        <v>46728</v>
      </c>
      <c r="P35" s="240">
        <f t="shared" si="18"/>
        <v>0.08</v>
      </c>
      <c r="Q35" s="242">
        <f t="shared" si="16"/>
        <v>10756.8</v>
      </c>
      <c r="R35" s="242">
        <f t="shared" si="12"/>
        <v>186701.76</v>
      </c>
      <c r="S35" s="244">
        <f t="shared" si="12"/>
        <v>50466.239999999998</v>
      </c>
    </row>
    <row r="36" spans="1:19" x14ac:dyDescent="0.25">
      <c r="A36" s="66">
        <f>H35/3800</f>
        <v>9.026315789473685</v>
      </c>
      <c r="C36" s="5"/>
      <c r="D36" s="147" t="s">
        <v>171</v>
      </c>
      <c r="E36" s="23" t="s">
        <v>169</v>
      </c>
      <c r="F36" s="101"/>
      <c r="G36" s="247"/>
      <c r="H36" s="247"/>
      <c r="I36" s="247"/>
      <c r="J36" s="249">
        <v>0</v>
      </c>
      <c r="K36" s="251">
        <f t="shared" si="11"/>
        <v>0</v>
      </c>
      <c r="L36" s="251">
        <f t="shared" si="11"/>
        <v>0</v>
      </c>
      <c r="M36" s="241">
        <f t="shared" si="13"/>
        <v>0</v>
      </c>
      <c r="N36" s="241">
        <f t="shared" si="14"/>
        <v>0</v>
      </c>
      <c r="O36" s="241">
        <f t="shared" si="15"/>
        <v>0</v>
      </c>
      <c r="P36" s="241">
        <f t="shared" si="18"/>
        <v>0.08</v>
      </c>
      <c r="Q36" s="243">
        <f t="shared" si="16"/>
        <v>0</v>
      </c>
      <c r="R36" s="243">
        <f t="shared" si="12"/>
        <v>0</v>
      </c>
      <c r="S36" s="245">
        <f t="shared" si="12"/>
        <v>0</v>
      </c>
    </row>
    <row r="37" spans="1:19" x14ac:dyDescent="0.25">
      <c r="C37" s="5"/>
      <c r="D37" s="147" t="s">
        <v>172</v>
      </c>
      <c r="E37" s="1" t="s">
        <v>161</v>
      </c>
      <c r="F37" s="101"/>
      <c r="G37" s="1">
        <f t="shared" ref="G37:G38" si="20">G33</f>
        <v>100</v>
      </c>
      <c r="H37" s="1">
        <f t="shared" ref="H37:I38" si="21">G37</f>
        <v>100</v>
      </c>
      <c r="I37" s="1">
        <f t="shared" si="21"/>
        <v>100</v>
      </c>
      <c r="J37" s="95">
        <f t="shared" ref="J37:J46" si="22">J33</f>
        <v>3.9083333333333337</v>
      </c>
      <c r="K37" s="95">
        <f t="shared" si="11"/>
        <v>4.0999999999999996</v>
      </c>
      <c r="L37" s="95">
        <f t="shared" si="11"/>
        <v>4.3099999999999996</v>
      </c>
      <c r="M37" s="1">
        <f t="shared" si="13"/>
        <v>1172.5</v>
      </c>
      <c r="N37" s="1">
        <f t="shared" si="14"/>
        <v>4919.9999999999991</v>
      </c>
      <c r="O37" s="1">
        <f t="shared" si="15"/>
        <v>2585.9999999999995</v>
      </c>
      <c r="P37" s="39">
        <f t="shared" si="18"/>
        <v>0.08</v>
      </c>
      <c r="Q37" s="150">
        <f t="shared" si="16"/>
        <v>1266.3</v>
      </c>
      <c r="R37" s="150">
        <f t="shared" si="12"/>
        <v>5313.6</v>
      </c>
      <c r="S37" s="158">
        <f t="shared" si="12"/>
        <v>2792.88</v>
      </c>
    </row>
    <row r="38" spans="1:19" ht="15.75" thickBot="1" x14ac:dyDescent="0.3">
      <c r="C38" s="6"/>
      <c r="D38" s="154" t="s">
        <v>173</v>
      </c>
      <c r="E38" s="7" t="s">
        <v>162</v>
      </c>
      <c r="F38" s="141"/>
      <c r="G38" s="7" t="e">
        <f t="shared" si="20"/>
        <v>#REF!</v>
      </c>
      <c r="H38" s="7" t="e">
        <f t="shared" si="21"/>
        <v>#REF!</v>
      </c>
      <c r="I38" s="7" t="e">
        <f t="shared" si="21"/>
        <v>#REF!</v>
      </c>
      <c r="J38" s="146">
        <f t="shared" si="22"/>
        <v>13.125</v>
      </c>
      <c r="K38" s="146">
        <f t="shared" si="11"/>
        <v>13.78</v>
      </c>
      <c r="L38" s="146">
        <f t="shared" si="11"/>
        <v>14.47</v>
      </c>
      <c r="M38" s="7" t="e">
        <f t="shared" si="13"/>
        <v>#REF!</v>
      </c>
      <c r="N38" s="7" t="e">
        <f t="shared" si="14"/>
        <v>#REF!</v>
      </c>
      <c r="O38" s="7" t="e">
        <f t="shared" si="15"/>
        <v>#REF!</v>
      </c>
      <c r="P38" s="159">
        <f t="shared" si="18"/>
        <v>0.08</v>
      </c>
      <c r="Q38" s="160" t="e">
        <f t="shared" si="16"/>
        <v>#REF!</v>
      </c>
      <c r="R38" s="160" t="e">
        <f t="shared" si="12"/>
        <v>#REF!</v>
      </c>
      <c r="S38" s="161" t="e">
        <f t="shared" si="12"/>
        <v>#REF!</v>
      </c>
    </row>
    <row r="39" spans="1:19" x14ac:dyDescent="0.25">
      <c r="C39" s="3" t="s">
        <v>166</v>
      </c>
      <c r="D39" s="152" t="s">
        <v>170</v>
      </c>
      <c r="E39" s="4" t="s">
        <v>160</v>
      </c>
      <c r="F39" s="135">
        <v>355</v>
      </c>
      <c r="G39" s="4">
        <v>650</v>
      </c>
      <c r="H39" s="4">
        <f>G39</f>
        <v>650</v>
      </c>
      <c r="I39" s="4">
        <f>H39</f>
        <v>650</v>
      </c>
      <c r="J39" s="162">
        <f>J31</f>
        <v>2.2083333333333335</v>
      </c>
      <c r="K39" s="162">
        <f t="shared" si="11"/>
        <v>2.3199999999999998</v>
      </c>
      <c r="L39" s="162">
        <f t="shared" si="11"/>
        <v>2.44</v>
      </c>
      <c r="M39" s="4">
        <f t="shared" si="13"/>
        <v>4306.25</v>
      </c>
      <c r="N39" s="4">
        <f t="shared" si="14"/>
        <v>18096</v>
      </c>
      <c r="O39" s="4">
        <f t="shared" si="15"/>
        <v>9516</v>
      </c>
      <c r="P39" s="93">
        <f t="shared" si="18"/>
        <v>0.08</v>
      </c>
      <c r="Q39" s="98">
        <f t="shared" si="16"/>
        <v>4650.75</v>
      </c>
      <c r="R39" s="98">
        <f t="shared" si="12"/>
        <v>19543.68</v>
      </c>
      <c r="S39" s="145">
        <f t="shared" si="12"/>
        <v>10277.280000000001</v>
      </c>
    </row>
    <row r="40" spans="1:19" x14ac:dyDescent="0.25">
      <c r="C40" s="5"/>
      <c r="D40" s="147" t="s">
        <v>171</v>
      </c>
      <c r="E40" s="1" t="s">
        <v>161</v>
      </c>
      <c r="F40" s="101">
        <v>3339</v>
      </c>
      <c r="G40" s="1">
        <f>G32</f>
        <v>3200</v>
      </c>
      <c r="H40" s="1">
        <f>G40</f>
        <v>3200</v>
      </c>
      <c r="I40" s="1">
        <f>H40</f>
        <v>3200</v>
      </c>
      <c r="J40" s="95">
        <f>J32</f>
        <v>3.2083333333333335</v>
      </c>
      <c r="K40" s="95">
        <f t="shared" si="11"/>
        <v>3.37</v>
      </c>
      <c r="L40" s="95">
        <f t="shared" si="11"/>
        <v>3.54</v>
      </c>
      <c r="M40" s="1">
        <f t="shared" si="13"/>
        <v>30800.000000000004</v>
      </c>
      <c r="N40" s="1">
        <f t="shared" si="14"/>
        <v>129408</v>
      </c>
      <c r="O40" s="1">
        <f t="shared" si="15"/>
        <v>67968</v>
      </c>
      <c r="P40" s="39">
        <f t="shared" si="18"/>
        <v>0.08</v>
      </c>
      <c r="Q40" s="150">
        <f t="shared" si="16"/>
        <v>33264</v>
      </c>
      <c r="R40" s="150">
        <f t="shared" si="12"/>
        <v>139760.64000000001</v>
      </c>
      <c r="S40" s="158">
        <f t="shared" si="12"/>
        <v>73405.440000000002</v>
      </c>
    </row>
    <row r="41" spans="1:19" x14ac:dyDescent="0.25">
      <c r="C41" s="5"/>
      <c r="D41" s="147" t="s">
        <v>172</v>
      </c>
      <c r="E41" s="1" t="s">
        <v>161</v>
      </c>
      <c r="F41" s="101">
        <v>29</v>
      </c>
      <c r="G41" s="1">
        <f t="shared" ref="G41:G42" si="23">G37</f>
        <v>100</v>
      </c>
      <c r="H41" s="1">
        <f t="shared" ref="H41:I42" si="24">G41</f>
        <v>100</v>
      </c>
      <c r="I41" s="1">
        <f t="shared" si="24"/>
        <v>100</v>
      </c>
      <c r="J41" s="95">
        <f t="shared" si="22"/>
        <v>3.9083333333333337</v>
      </c>
      <c r="K41" s="95">
        <f t="shared" si="11"/>
        <v>4.0999999999999996</v>
      </c>
      <c r="L41" s="95">
        <f t="shared" si="11"/>
        <v>4.3099999999999996</v>
      </c>
      <c r="M41" s="1">
        <f t="shared" si="13"/>
        <v>1172.5</v>
      </c>
      <c r="N41" s="1">
        <f t="shared" si="14"/>
        <v>4919.9999999999991</v>
      </c>
      <c r="O41" s="1">
        <f t="shared" si="15"/>
        <v>2585.9999999999995</v>
      </c>
      <c r="P41" s="39">
        <f t="shared" si="18"/>
        <v>0.08</v>
      </c>
      <c r="Q41" s="150">
        <f t="shared" si="16"/>
        <v>1266.3</v>
      </c>
      <c r="R41" s="150">
        <f t="shared" si="12"/>
        <v>5313.6</v>
      </c>
      <c r="S41" s="158">
        <f t="shared" si="12"/>
        <v>2792.88</v>
      </c>
    </row>
    <row r="42" spans="1:19" ht="15.75" thickBot="1" x14ac:dyDescent="0.3">
      <c r="C42" s="6"/>
      <c r="D42" s="154" t="s">
        <v>173</v>
      </c>
      <c r="E42" s="7" t="s">
        <v>162</v>
      </c>
      <c r="F42" s="141">
        <f>28+2</f>
        <v>30</v>
      </c>
      <c r="G42" s="7" t="e">
        <f t="shared" si="23"/>
        <v>#REF!</v>
      </c>
      <c r="H42" s="7" t="e">
        <f t="shared" si="24"/>
        <v>#REF!</v>
      </c>
      <c r="I42" s="7" t="e">
        <f t="shared" si="24"/>
        <v>#REF!</v>
      </c>
      <c r="J42" s="146">
        <f t="shared" si="22"/>
        <v>13.125</v>
      </c>
      <c r="K42" s="146">
        <f t="shared" si="11"/>
        <v>13.78</v>
      </c>
      <c r="L42" s="146">
        <f t="shared" si="11"/>
        <v>14.47</v>
      </c>
      <c r="M42" s="7" t="e">
        <f t="shared" si="13"/>
        <v>#REF!</v>
      </c>
      <c r="N42" s="7" t="e">
        <f t="shared" si="14"/>
        <v>#REF!</v>
      </c>
      <c r="O42" s="7" t="e">
        <f t="shared" si="15"/>
        <v>#REF!</v>
      </c>
      <c r="P42" s="159">
        <f t="shared" si="18"/>
        <v>0.08</v>
      </c>
      <c r="Q42" s="160" t="e">
        <f t="shared" si="16"/>
        <v>#REF!</v>
      </c>
      <c r="R42" s="160" t="e">
        <f t="shared" si="12"/>
        <v>#REF!</v>
      </c>
      <c r="S42" s="161" t="e">
        <f t="shared" si="12"/>
        <v>#REF!</v>
      </c>
    </row>
    <row r="43" spans="1:19" ht="33.75" customHeight="1" x14ac:dyDescent="0.25">
      <c r="A43" s="87" t="s">
        <v>492</v>
      </c>
      <c r="C43" s="3" t="s">
        <v>167</v>
      </c>
      <c r="D43" s="152" t="s">
        <v>170</v>
      </c>
      <c r="E43" s="4" t="s">
        <v>160</v>
      </c>
      <c r="F43" s="135">
        <v>2135</v>
      </c>
      <c r="G43" s="222">
        <f>ROUND(G39*80%,0)*0+2560</f>
        <v>2560</v>
      </c>
      <c r="H43" s="4">
        <f>G43</f>
        <v>2560</v>
      </c>
      <c r="I43" s="4">
        <f>H43</f>
        <v>2560</v>
      </c>
      <c r="J43" s="162">
        <f t="shared" si="22"/>
        <v>2.2083333333333335</v>
      </c>
      <c r="K43" s="162">
        <f t="shared" si="11"/>
        <v>2.3199999999999998</v>
      </c>
      <c r="L43" s="162">
        <f t="shared" si="11"/>
        <v>2.44</v>
      </c>
      <c r="M43" s="4">
        <f t="shared" si="13"/>
        <v>16960</v>
      </c>
      <c r="N43" s="4">
        <f t="shared" si="14"/>
        <v>71270.399999999994</v>
      </c>
      <c r="O43" s="4">
        <f t="shared" si="15"/>
        <v>37478.399999999994</v>
      </c>
      <c r="P43" s="93">
        <f t="shared" si="18"/>
        <v>0.08</v>
      </c>
      <c r="Q43" s="98">
        <f t="shared" si="16"/>
        <v>18316.8</v>
      </c>
      <c r="R43" s="98">
        <f t="shared" si="12"/>
        <v>76972.03</v>
      </c>
      <c r="S43" s="145">
        <f t="shared" si="12"/>
        <v>40476.67</v>
      </c>
    </row>
    <row r="44" spans="1:19" ht="30" x14ac:dyDescent="0.25">
      <c r="A44" s="87" t="s">
        <v>492</v>
      </c>
      <c r="C44" s="5"/>
      <c r="D44" s="147" t="s">
        <v>171</v>
      </c>
      <c r="E44" s="1" t="s">
        <v>161</v>
      </c>
      <c r="F44" s="101">
        <v>91</v>
      </c>
      <c r="G44" s="45">
        <f>G40*80%*0+520</f>
        <v>520</v>
      </c>
      <c r="H44" s="1">
        <f>G44</f>
        <v>520</v>
      </c>
      <c r="I44" s="1">
        <f>H44</f>
        <v>520</v>
      </c>
      <c r="J44" s="95">
        <f t="shared" si="22"/>
        <v>3.2083333333333335</v>
      </c>
      <c r="K44" s="95">
        <f t="shared" si="11"/>
        <v>3.37</v>
      </c>
      <c r="L44" s="95">
        <f t="shared" si="11"/>
        <v>3.54</v>
      </c>
      <c r="M44" s="1">
        <f t="shared" si="13"/>
        <v>5005</v>
      </c>
      <c r="N44" s="1">
        <f t="shared" si="14"/>
        <v>21028.800000000003</v>
      </c>
      <c r="O44" s="1">
        <f t="shared" si="15"/>
        <v>11044.8</v>
      </c>
      <c r="P44" s="39">
        <f t="shared" si="18"/>
        <v>0.08</v>
      </c>
      <c r="Q44" s="150">
        <f t="shared" si="16"/>
        <v>5405.4</v>
      </c>
      <c r="R44" s="150">
        <f t="shared" si="12"/>
        <v>22711.1</v>
      </c>
      <c r="S44" s="158">
        <f t="shared" si="12"/>
        <v>11928.38</v>
      </c>
    </row>
    <row r="45" spans="1:19" x14ac:dyDescent="0.25">
      <c r="C45" s="5"/>
      <c r="D45" s="147" t="s">
        <v>172</v>
      </c>
      <c r="E45" s="1" t="s">
        <v>161</v>
      </c>
      <c r="F45" s="101">
        <v>7</v>
      </c>
      <c r="G45" s="1">
        <f>G33</f>
        <v>100</v>
      </c>
      <c r="H45" s="1">
        <f t="shared" ref="H45:I46" si="25">G45</f>
        <v>100</v>
      </c>
      <c r="I45" s="1">
        <f t="shared" si="25"/>
        <v>100</v>
      </c>
      <c r="J45" s="95">
        <f t="shared" si="22"/>
        <v>3.9083333333333337</v>
      </c>
      <c r="K45" s="95">
        <f t="shared" si="11"/>
        <v>4.0999999999999996</v>
      </c>
      <c r="L45" s="95">
        <f t="shared" si="11"/>
        <v>4.3099999999999996</v>
      </c>
      <c r="M45" s="1">
        <f t="shared" si="13"/>
        <v>1172.5</v>
      </c>
      <c r="N45" s="1">
        <f t="shared" si="14"/>
        <v>4919.9999999999991</v>
      </c>
      <c r="O45" s="1">
        <f t="shared" si="15"/>
        <v>2585.9999999999995</v>
      </c>
      <c r="P45" s="39">
        <f t="shared" si="18"/>
        <v>0.08</v>
      </c>
      <c r="Q45" s="150">
        <f t="shared" si="16"/>
        <v>1266.3</v>
      </c>
      <c r="R45" s="150">
        <f t="shared" si="12"/>
        <v>5313.6</v>
      </c>
      <c r="S45" s="158">
        <f t="shared" si="12"/>
        <v>2792.88</v>
      </c>
    </row>
    <row r="46" spans="1:19" ht="15.75" thickBot="1" x14ac:dyDescent="0.3">
      <c r="C46" s="6"/>
      <c r="D46" s="154" t="s">
        <v>173</v>
      </c>
      <c r="E46" s="7" t="s">
        <v>162</v>
      </c>
      <c r="F46" s="141">
        <f>16</f>
        <v>16</v>
      </c>
      <c r="G46" s="1" t="e">
        <f>G34</f>
        <v>#REF!</v>
      </c>
      <c r="H46" s="7" t="e">
        <f t="shared" si="25"/>
        <v>#REF!</v>
      </c>
      <c r="I46" s="7" t="e">
        <f t="shared" si="25"/>
        <v>#REF!</v>
      </c>
      <c r="J46" s="146">
        <f t="shared" si="22"/>
        <v>13.125</v>
      </c>
      <c r="K46" s="146">
        <f t="shared" si="11"/>
        <v>13.78</v>
      </c>
      <c r="L46" s="146">
        <f t="shared" si="11"/>
        <v>14.47</v>
      </c>
      <c r="M46" s="7" t="e">
        <f t="shared" si="13"/>
        <v>#REF!</v>
      </c>
      <c r="N46" s="7" t="e">
        <f t="shared" si="14"/>
        <v>#REF!</v>
      </c>
      <c r="O46" s="7" t="e">
        <f t="shared" si="15"/>
        <v>#REF!</v>
      </c>
      <c r="P46" s="159">
        <f t="shared" si="18"/>
        <v>0.08</v>
      </c>
      <c r="Q46" s="160" t="e">
        <f t="shared" si="16"/>
        <v>#REF!</v>
      </c>
      <c r="R46" s="160" t="e">
        <f t="shared" si="12"/>
        <v>#REF!</v>
      </c>
      <c r="S46" s="161" t="e">
        <f t="shared" si="12"/>
        <v>#REF!</v>
      </c>
    </row>
    <row r="47" spans="1:19" x14ac:dyDescent="0.25">
      <c r="A47" s="87">
        <f>H47/3800</f>
        <v>11.315789473684211</v>
      </c>
      <c r="B47" s="47"/>
      <c r="C47" s="3" t="s">
        <v>168</v>
      </c>
      <c r="D47" s="152" t="s">
        <v>170</v>
      </c>
      <c r="E47" s="126" t="s">
        <v>456</v>
      </c>
      <c r="F47" s="171"/>
      <c r="G47" s="172">
        <f>E13*1000/6</f>
        <v>10500</v>
      </c>
      <c r="H47" s="172">
        <f>F13*1000/6</f>
        <v>43000</v>
      </c>
      <c r="I47" s="223">
        <f>I39</f>
        <v>650</v>
      </c>
      <c r="J47" s="136">
        <f>J35</f>
        <v>0.4</v>
      </c>
      <c r="K47" s="136">
        <f>K35</f>
        <v>0.42</v>
      </c>
      <c r="L47" s="94">
        <f>'odbieranie - m+u+gmina kup poj'!L47</f>
        <v>0.46</v>
      </c>
      <c r="M47" s="4">
        <f t="shared" si="13"/>
        <v>12600</v>
      </c>
      <c r="N47" s="4">
        <f t="shared" si="14"/>
        <v>216720</v>
      </c>
      <c r="O47" s="4">
        <f t="shared" si="15"/>
        <v>1794</v>
      </c>
      <c r="P47" s="93">
        <f t="shared" si="18"/>
        <v>0.08</v>
      </c>
      <c r="Q47" s="98">
        <f t="shared" si="16"/>
        <v>13608</v>
      </c>
      <c r="R47" s="145">
        <f t="shared" si="16"/>
        <v>234057.60000000001</v>
      </c>
      <c r="S47" s="163">
        <f t="shared" si="16"/>
        <v>1937.52</v>
      </c>
    </row>
    <row r="48" spans="1:19" ht="30" x14ac:dyDescent="0.25">
      <c r="A48" s="87">
        <f>700</f>
        <v>700</v>
      </c>
      <c r="B48" s="47"/>
      <c r="C48" s="207" t="s">
        <v>457</v>
      </c>
      <c r="D48" s="147" t="s">
        <v>171</v>
      </c>
      <c r="E48" s="23" t="s">
        <v>456</v>
      </c>
      <c r="F48" s="109"/>
      <c r="G48" s="127">
        <v>0</v>
      </c>
      <c r="H48" s="127">
        <v>0</v>
      </c>
      <c r="I48" s="224">
        <f t="shared" ref="I48" si="26">I40</f>
        <v>3200</v>
      </c>
      <c r="J48" s="95">
        <v>0</v>
      </c>
      <c r="K48" s="95">
        <f t="shared" si="11"/>
        <v>0</v>
      </c>
      <c r="L48" s="94">
        <f>'odbieranie - m+u+gmina kup poj'!L48</f>
        <v>0.46</v>
      </c>
      <c r="M48" s="1">
        <f t="shared" si="13"/>
        <v>0</v>
      </c>
      <c r="N48" s="1">
        <f t="shared" si="14"/>
        <v>0</v>
      </c>
      <c r="O48" s="1">
        <f t="shared" si="15"/>
        <v>8832</v>
      </c>
      <c r="P48" s="39">
        <f t="shared" si="18"/>
        <v>0.08</v>
      </c>
      <c r="Q48" s="150">
        <f t="shared" ref="Q48:S51" si="27">ROUND(M48*$P$31+M48,2)</f>
        <v>0</v>
      </c>
      <c r="R48" s="158">
        <f t="shared" si="27"/>
        <v>0</v>
      </c>
      <c r="S48" s="164">
        <f t="shared" si="27"/>
        <v>9538.56</v>
      </c>
    </row>
    <row r="49" spans="1:19" ht="30" x14ac:dyDescent="0.25">
      <c r="A49" s="87">
        <f>3460</f>
        <v>3460</v>
      </c>
      <c r="B49" s="47"/>
      <c r="C49" s="5"/>
      <c r="D49" s="147" t="s">
        <v>174</v>
      </c>
      <c r="E49" s="1" t="s">
        <v>455</v>
      </c>
      <c r="F49" s="101"/>
      <c r="G49" s="1">
        <f>G33</f>
        <v>100</v>
      </c>
      <c r="H49" s="1">
        <f>G49</f>
        <v>100</v>
      </c>
      <c r="I49" s="1">
        <f>H49</f>
        <v>100</v>
      </c>
      <c r="J49" s="95">
        <f>J45</f>
        <v>3.9083333333333337</v>
      </c>
      <c r="K49" s="95">
        <f t="shared" si="11"/>
        <v>4.0999999999999996</v>
      </c>
      <c r="L49" s="95">
        <f t="shared" si="11"/>
        <v>4.3099999999999996</v>
      </c>
      <c r="M49" s="1">
        <f t="shared" si="13"/>
        <v>1172.5</v>
      </c>
      <c r="N49" s="1">
        <f t="shared" si="14"/>
        <v>4919.9999999999991</v>
      </c>
      <c r="O49" s="1">
        <f t="shared" si="15"/>
        <v>2585.9999999999995</v>
      </c>
      <c r="P49" s="39">
        <f>P47</f>
        <v>0.08</v>
      </c>
      <c r="Q49" s="150">
        <f>ROUND(M49*$P$31+M49,2)</f>
        <v>1266.3</v>
      </c>
      <c r="R49" s="158">
        <f t="shared" si="27"/>
        <v>5313.6</v>
      </c>
      <c r="S49" s="164">
        <f t="shared" si="27"/>
        <v>2792.88</v>
      </c>
    </row>
    <row r="50" spans="1:19" ht="15.75" thickBot="1" x14ac:dyDescent="0.3">
      <c r="A50" s="87">
        <f>A48/A49</f>
        <v>0.20231213872832371</v>
      </c>
      <c r="B50" s="47"/>
      <c r="C50" s="6"/>
      <c r="D50" s="154" t="s">
        <v>173</v>
      </c>
      <c r="E50" s="7" t="s">
        <v>162</v>
      </c>
      <c r="F50" s="141"/>
      <c r="G50" s="1" t="e">
        <f>G34</f>
        <v>#REF!</v>
      </c>
      <c r="H50" s="7" t="e">
        <f>G50</f>
        <v>#REF!</v>
      </c>
      <c r="I50" s="7" t="e">
        <f>H50</f>
        <v>#REF!</v>
      </c>
      <c r="J50" s="146">
        <f>J46</f>
        <v>13.125</v>
      </c>
      <c r="K50" s="146">
        <f t="shared" si="11"/>
        <v>13.78</v>
      </c>
      <c r="L50" s="146">
        <f t="shared" si="11"/>
        <v>14.47</v>
      </c>
      <c r="M50" s="7" t="e">
        <f t="shared" si="13"/>
        <v>#REF!</v>
      </c>
      <c r="N50" s="7" t="e">
        <f t="shared" si="14"/>
        <v>#REF!</v>
      </c>
      <c r="O50" s="7" t="e">
        <f t="shared" si="15"/>
        <v>#REF!</v>
      </c>
      <c r="P50" s="159">
        <f t="shared" si="18"/>
        <v>0.08</v>
      </c>
      <c r="Q50" s="160" t="e">
        <f t="shared" ref="Q50:Q51" si="28">ROUND(M50*$P$31+M50,2)</f>
        <v>#REF!</v>
      </c>
      <c r="R50" s="161" t="e">
        <f t="shared" si="27"/>
        <v>#REF!</v>
      </c>
      <c r="S50" s="164" t="e">
        <f t="shared" si="27"/>
        <v>#REF!</v>
      </c>
    </row>
    <row r="51" spans="1:19" s="130" customFormat="1" ht="57" x14ac:dyDescent="0.25">
      <c r="A51" s="128" t="s">
        <v>192</v>
      </c>
      <c r="B51" s="129" t="s">
        <v>198</v>
      </c>
      <c r="C51" s="165" t="s">
        <v>193</v>
      </c>
      <c r="D51" s="165" t="s">
        <v>191</v>
      </c>
      <c r="E51" s="166" t="s">
        <v>169</v>
      </c>
      <c r="F51" s="167" t="s">
        <v>202</v>
      </c>
      <c r="G51" s="168">
        <f>SUM(E10:E13)*0.3/0.005*0</f>
        <v>0</v>
      </c>
      <c r="H51" s="168">
        <f>SUM(F10:F13)*0.3/0.005*0</f>
        <v>0</v>
      </c>
      <c r="I51" s="168">
        <f>SUM(G10:G13)*0.3/0.005*0</f>
        <v>0</v>
      </c>
      <c r="J51" s="169">
        <f>J47</f>
        <v>0.4</v>
      </c>
      <c r="K51" s="169">
        <f t="shared" si="11"/>
        <v>0.42</v>
      </c>
      <c r="L51" s="169">
        <f t="shared" si="11"/>
        <v>0.44</v>
      </c>
      <c r="M51" s="168">
        <f>G51*J51</f>
        <v>0</v>
      </c>
      <c r="N51" s="168">
        <f>H51*K51</f>
        <v>0</v>
      </c>
      <c r="O51" s="168">
        <f>I51*L51</f>
        <v>0</v>
      </c>
      <c r="P51" s="168">
        <f t="shared" si="18"/>
        <v>0.08</v>
      </c>
      <c r="Q51" s="170">
        <f t="shared" si="28"/>
        <v>0</v>
      </c>
      <c r="R51" s="170">
        <f t="shared" si="27"/>
        <v>0</v>
      </c>
      <c r="S51" s="151">
        <f t="shared" si="27"/>
        <v>0</v>
      </c>
    </row>
    <row r="52" spans="1:19" ht="56.25" customHeight="1" x14ac:dyDescent="0.25">
      <c r="D52" s="75" t="s">
        <v>207</v>
      </c>
      <c r="F52" s="238"/>
      <c r="Q52" s="74" t="e">
        <f>SUM(Q31:Q51)-Q35</f>
        <v>#REF!</v>
      </c>
      <c r="R52" s="74" t="e">
        <f t="shared" ref="R52:S52" si="29">SUM(R31:R51)-R35</f>
        <v>#REF!</v>
      </c>
      <c r="S52" s="74" t="e">
        <f t="shared" si="29"/>
        <v>#REF!</v>
      </c>
    </row>
    <row r="53" spans="1:19" ht="33.75" customHeight="1" x14ac:dyDescent="0.25">
      <c r="D53" s="106" t="s">
        <v>107</v>
      </c>
      <c r="F53" s="239"/>
      <c r="Q53" s="235" t="e">
        <f>SUM(Q52:S52)</f>
        <v>#REF!</v>
      </c>
      <c r="R53" s="235"/>
      <c r="S53" s="235"/>
    </row>
    <row r="54" spans="1:19" x14ac:dyDescent="0.25">
      <c r="C54" s="107" t="s">
        <v>208</v>
      </c>
      <c r="D54" s="108"/>
      <c r="E54" s="102"/>
      <c r="F54" s="102"/>
      <c r="G54" s="102" t="e">
        <f>((G31+G39+G43+G47+G48)*120+(G32+G40+G44)*180+(G33+G37+G41+G45+G49)*220+(G34+G38+G42+G46+G50)*750)/60*39</f>
        <v>#REF!</v>
      </c>
      <c r="H54" s="102" t="s">
        <v>203</v>
      </c>
      <c r="I54" s="102"/>
      <c r="J54" s="103"/>
      <c r="K54" s="103"/>
      <c r="L54" s="103"/>
      <c r="M54" s="102"/>
      <c r="N54" s="102"/>
      <c r="O54" s="102"/>
      <c r="P54" s="104"/>
      <c r="Q54" s="105" t="e">
        <f>Q52/$Q$53*$G$54</f>
        <v>#REF!</v>
      </c>
      <c r="R54" s="105" t="e">
        <f t="shared" ref="R54:S54" si="30">R52/$Q$53*$G$54</f>
        <v>#REF!</v>
      </c>
      <c r="S54" s="105" t="e">
        <f t="shared" si="30"/>
        <v>#REF!</v>
      </c>
    </row>
    <row r="56" spans="1:19" ht="30" x14ac:dyDescent="0.25">
      <c r="C56" s="110" t="s">
        <v>189</v>
      </c>
      <c r="D56" s="96">
        <v>2020</v>
      </c>
      <c r="E56" s="96">
        <v>2021</v>
      </c>
      <c r="F56" s="96">
        <v>2022</v>
      </c>
      <c r="Q56" s="25"/>
    </row>
    <row r="57" spans="1:19" x14ac:dyDescent="0.25">
      <c r="C57" s="111" t="s">
        <v>183</v>
      </c>
      <c r="D57" s="114">
        <f>'przetwarzanie odpadów'!E68</f>
        <v>301342.5</v>
      </c>
      <c r="E57" s="114">
        <f>'przetwarzanie odpadów'!F68</f>
        <v>1446444</v>
      </c>
      <c r="F57" s="114">
        <f>'przetwarzanie odpadów'!G68</f>
        <v>867866.4</v>
      </c>
    </row>
    <row r="58" spans="1:19" x14ac:dyDescent="0.25">
      <c r="C58" s="111" t="s">
        <v>184</v>
      </c>
      <c r="D58" s="114">
        <f>'przetwarzanie odpadów'!E69</f>
        <v>38937.5</v>
      </c>
      <c r="E58" s="114">
        <f>'przetwarzanie odpadów'!F69</f>
        <v>186900</v>
      </c>
      <c r="F58" s="114">
        <f>'przetwarzanie odpadów'!G69</f>
        <v>112140</v>
      </c>
    </row>
    <row r="59" spans="1:19" x14ac:dyDescent="0.25">
      <c r="C59" s="111" t="s">
        <v>194</v>
      </c>
      <c r="D59" s="114">
        <f>L17</f>
        <v>435132</v>
      </c>
      <c r="E59" s="114">
        <f>M17</f>
        <v>1883559.0959999999</v>
      </c>
      <c r="F59" s="114">
        <f>N17</f>
        <v>1018478.8800000001</v>
      </c>
    </row>
    <row r="60" spans="1:19" x14ac:dyDescent="0.25">
      <c r="C60" s="111" t="s">
        <v>185</v>
      </c>
      <c r="D60" s="114">
        <f>L24</f>
        <v>81</v>
      </c>
      <c r="E60" s="114">
        <f>M24</f>
        <v>198.45</v>
      </c>
      <c r="F60" s="114">
        <f>E60</f>
        <v>198.45</v>
      </c>
    </row>
    <row r="61" spans="1:19" x14ac:dyDescent="0.25">
      <c r="C61" s="111" t="s">
        <v>204</v>
      </c>
      <c r="D61" s="114" t="e">
        <f>Q52</f>
        <v>#REF!</v>
      </c>
      <c r="E61" s="114" t="e">
        <f>R52</f>
        <v>#REF!</v>
      </c>
      <c r="F61" s="114" t="e">
        <f t="shared" ref="F61" si="31">S52</f>
        <v>#REF!</v>
      </c>
    </row>
    <row r="62" spans="1:19" s="47" customFormat="1" x14ac:dyDescent="0.25">
      <c r="A62" s="87"/>
      <c r="C62" s="112" t="s">
        <v>186</v>
      </c>
      <c r="D62" s="115">
        <f>E62/12*3</f>
        <v>50000</v>
      </c>
      <c r="E62" s="115">
        <v>200000</v>
      </c>
      <c r="F62" s="115">
        <f>E62/12*6</f>
        <v>100000</v>
      </c>
    </row>
    <row r="63" spans="1:19" x14ac:dyDescent="0.25">
      <c r="C63" s="110" t="s">
        <v>187</v>
      </c>
      <c r="D63" s="116" t="e">
        <f>SUM(D57:D62)</f>
        <v>#REF!</v>
      </c>
      <c r="E63" s="116" t="e">
        <f>SUM(E57:E62)</f>
        <v>#REF!</v>
      </c>
      <c r="F63" s="116" t="e">
        <f>SUM(F57:F62)</f>
        <v>#REF!</v>
      </c>
    </row>
    <row r="64" spans="1:19" x14ac:dyDescent="0.25">
      <c r="C64" s="111" t="s">
        <v>188</v>
      </c>
      <c r="D64" s="114"/>
      <c r="E64" s="114">
        <v>16000</v>
      </c>
      <c r="F64" s="114"/>
    </row>
    <row r="65" spans="3:6" ht="21" x14ac:dyDescent="0.35">
      <c r="C65" s="113" t="s">
        <v>190</v>
      </c>
      <c r="D65" s="117" t="e">
        <f>D63/E64/3</f>
        <v>#REF!</v>
      </c>
      <c r="E65" s="117" t="e">
        <f>ROUND(E63/E64/12,2)</f>
        <v>#REF!</v>
      </c>
      <c r="F65" s="117" t="e">
        <f>F63/E64/6</f>
        <v>#REF!</v>
      </c>
    </row>
    <row r="66" spans="3:6" ht="45" x14ac:dyDescent="0.25">
      <c r="C66" s="66"/>
      <c r="D66" s="118"/>
      <c r="E66" s="119" t="s">
        <v>196</v>
      </c>
      <c r="F66" s="119"/>
    </row>
    <row r="67" spans="3:6" ht="30" x14ac:dyDescent="0.25">
      <c r="C67" s="120" t="s">
        <v>205</v>
      </c>
      <c r="D67" s="121" t="e">
        <f>ROUND(Q54,2)</f>
        <v>#REF!</v>
      </c>
      <c r="E67" s="121" t="e">
        <f t="shared" ref="E67:F67" si="32">ROUND(R54,2)</f>
        <v>#REF!</v>
      </c>
      <c r="F67" s="121" t="e">
        <f t="shared" si="32"/>
        <v>#REF!</v>
      </c>
    </row>
    <row r="68" spans="3:6" x14ac:dyDescent="0.25">
      <c r="C68" s="122" t="s">
        <v>187</v>
      </c>
      <c r="D68" s="123" t="e">
        <f>D63+D67</f>
        <v>#REF!</v>
      </c>
      <c r="E68" s="123" t="e">
        <f t="shared" ref="E68:F68" si="33">E63+E67</f>
        <v>#REF!</v>
      </c>
      <c r="F68" s="123" t="e">
        <f t="shared" si="33"/>
        <v>#REF!</v>
      </c>
    </row>
    <row r="69" spans="3:6" ht="21" x14ac:dyDescent="0.35">
      <c r="C69" s="124" t="s">
        <v>190</v>
      </c>
      <c r="D69" s="125" t="e">
        <f>D68/E64/3</f>
        <v>#REF!</v>
      </c>
      <c r="E69" s="125" t="e">
        <f>E68/E64/12</f>
        <v>#REF!</v>
      </c>
      <c r="F69" s="125" t="e">
        <f>F68/E64/6</f>
        <v>#REF!</v>
      </c>
    </row>
    <row r="72" spans="3:6" ht="60" x14ac:dyDescent="0.25">
      <c r="C72" s="120" t="s">
        <v>206</v>
      </c>
      <c r="D72" s="121" t="e">
        <f>D67/1.08*1.23</f>
        <v>#REF!</v>
      </c>
      <c r="E72" s="121" t="e">
        <f t="shared" ref="E72:F72" si="34">E67/1.08*1.23</f>
        <v>#REF!</v>
      </c>
      <c r="F72" s="121" t="e">
        <f t="shared" si="34"/>
        <v>#REF!</v>
      </c>
    </row>
    <row r="73" spans="3:6" x14ac:dyDescent="0.25">
      <c r="C73" s="122" t="s">
        <v>187</v>
      </c>
      <c r="D73" s="123" t="e">
        <f>D63+D72</f>
        <v>#REF!</v>
      </c>
      <c r="E73" s="123" t="e">
        <f t="shared" ref="E73:F73" si="35">E63+E72</f>
        <v>#REF!</v>
      </c>
      <c r="F73" s="123" t="e">
        <f t="shared" si="35"/>
        <v>#REF!</v>
      </c>
    </row>
    <row r="74" spans="3:6" ht="21" x14ac:dyDescent="0.35">
      <c r="C74" s="124" t="s">
        <v>190</v>
      </c>
      <c r="D74" s="125" t="e">
        <f>D73/$E$64/3</f>
        <v>#REF!</v>
      </c>
      <c r="E74" s="125" t="e">
        <f>E73/$E$64/12</f>
        <v>#REF!</v>
      </c>
      <c r="F74" s="125" t="e">
        <f>F73/$E$64/6</f>
        <v>#REF!</v>
      </c>
    </row>
  </sheetData>
  <mergeCells count="18">
    <mergeCell ref="H18:J18"/>
    <mergeCell ref="L18:N18"/>
    <mergeCell ref="L25:N25"/>
    <mergeCell ref="G35:G36"/>
    <mergeCell ref="H35:H36"/>
    <mergeCell ref="I35:I36"/>
    <mergeCell ref="J35:J36"/>
    <mergeCell ref="K35:K36"/>
    <mergeCell ref="L35:L36"/>
    <mergeCell ref="M35:M36"/>
    <mergeCell ref="F52:F53"/>
    <mergeCell ref="Q53:S53"/>
    <mergeCell ref="N35:N36"/>
    <mergeCell ref="O35:O36"/>
    <mergeCell ref="P35:P36"/>
    <mergeCell ref="Q35:Q36"/>
    <mergeCell ref="R35:R36"/>
    <mergeCell ref="S35:S3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topLeftCell="A23" workbookViewId="0">
      <selection activeCell="E31" sqref="E31:E50"/>
    </sheetView>
  </sheetViews>
  <sheetFormatPr defaultRowHeight="15" x14ac:dyDescent="0.25"/>
  <cols>
    <col min="1" max="1" width="36.28515625" style="66" customWidth="1"/>
    <col min="3" max="3" width="53" customWidth="1"/>
    <col min="4" max="4" width="24.140625" style="66" customWidth="1"/>
    <col min="5" max="6" width="21" customWidth="1"/>
    <col min="7" max="7" width="26" customWidth="1"/>
    <col min="10" max="16" width="10.7109375" customWidth="1"/>
    <col min="17" max="17" width="13.42578125" bestFit="1" customWidth="1"/>
    <col min="18" max="18" width="15.140625" customWidth="1"/>
    <col min="19" max="19" width="14.28515625" customWidth="1"/>
  </cols>
  <sheetData>
    <row r="1" spans="3:15" ht="15.75" customHeight="1" x14ac:dyDescent="0.25"/>
    <row r="2" spans="3:15" x14ac:dyDescent="0.25">
      <c r="C2" s="64"/>
    </row>
    <row r="3" spans="3:15" x14ac:dyDescent="0.25">
      <c r="C3" s="65"/>
    </row>
    <row r="4" spans="3:15" x14ac:dyDescent="0.25">
      <c r="C4" s="65"/>
      <c r="F4" s="47"/>
    </row>
    <row r="5" spans="3:15" x14ac:dyDescent="0.25">
      <c r="C5" s="65"/>
    </row>
    <row r="6" spans="3:15" ht="30" x14ac:dyDescent="0.25">
      <c r="C6" s="65"/>
      <c r="D6" s="92" t="s">
        <v>149</v>
      </c>
      <c r="F6">
        <f>F13*1000/3800/4</f>
        <v>16.973684210526315</v>
      </c>
    </row>
    <row r="7" spans="3:15" x14ac:dyDescent="0.25">
      <c r="C7" s="65"/>
      <c r="H7" t="s">
        <v>200</v>
      </c>
      <c r="I7" s="97">
        <v>0.05</v>
      </c>
    </row>
    <row r="8" spans="3:15" ht="51" x14ac:dyDescent="0.25">
      <c r="C8" s="67" t="s">
        <v>44</v>
      </c>
      <c r="D8" s="67" t="s">
        <v>148</v>
      </c>
      <c r="E8" s="70" t="s">
        <v>139</v>
      </c>
      <c r="F8" s="70" t="s">
        <v>140</v>
      </c>
      <c r="G8" s="70" t="s">
        <v>141</v>
      </c>
      <c r="H8" s="70" t="s">
        <v>99</v>
      </c>
      <c r="I8" s="70" t="s">
        <v>100</v>
      </c>
      <c r="J8" s="70" t="s">
        <v>101</v>
      </c>
      <c r="K8" s="70" t="s">
        <v>102</v>
      </c>
      <c r="L8" s="70" t="s">
        <v>103</v>
      </c>
      <c r="M8" s="70" t="s">
        <v>104</v>
      </c>
      <c r="N8" s="70" t="s">
        <v>105</v>
      </c>
      <c r="O8" s="66"/>
    </row>
    <row r="9" spans="3:15" ht="25.5" x14ac:dyDescent="0.25">
      <c r="C9" s="68" t="s">
        <v>26</v>
      </c>
      <c r="D9" s="68" t="s">
        <v>89</v>
      </c>
      <c r="E9" s="79">
        <f>'wykaz cen przetwarzanie odpadów'!D9</f>
        <v>500</v>
      </c>
      <c r="F9" s="79">
        <f>'wykaz cen przetwarzanie odpadów'!E9</f>
        <v>2060</v>
      </c>
      <c r="G9" s="79">
        <f>'wykaz cen przetwarzanie odpadów'!F9</f>
        <v>1061</v>
      </c>
      <c r="H9" s="71">
        <v>250</v>
      </c>
      <c r="I9" s="71">
        <f t="shared" ref="I9:J16" si="0">ROUND(H9*$I$7+H9,0)</f>
        <v>263</v>
      </c>
      <c r="J9" s="71">
        <f t="shared" si="0"/>
        <v>276</v>
      </c>
      <c r="K9" s="72">
        <v>0.08</v>
      </c>
      <c r="L9" s="73">
        <f>ROUND(H9*E9+(H9*E9)*$K9,2)</f>
        <v>135000</v>
      </c>
      <c r="M9" s="73">
        <f>ROUND(I9*F9+(I9*F9)*$K9,2)</f>
        <v>585122.4</v>
      </c>
      <c r="N9" s="73">
        <f t="shared" ref="N9:N16" si="1">J9*G9+(J9*G9)*$K9</f>
        <v>316262.88</v>
      </c>
    </row>
    <row r="10" spans="3:15" ht="25.5" x14ac:dyDescent="0.25">
      <c r="C10" s="68" t="s">
        <v>29</v>
      </c>
      <c r="D10" s="68" t="s">
        <v>28</v>
      </c>
      <c r="E10" s="79">
        <f>'wykaz cen przetwarzanie odpadów'!D10</f>
        <v>210</v>
      </c>
      <c r="F10" s="79">
        <f>'wykaz cen przetwarzanie odpadów'!E10</f>
        <v>865</v>
      </c>
      <c r="G10" s="79">
        <f>'wykaz cen przetwarzanie odpadów'!F10</f>
        <v>445.5</v>
      </c>
      <c r="H10" s="71">
        <v>250</v>
      </c>
      <c r="I10" s="71">
        <f t="shared" si="0"/>
        <v>263</v>
      </c>
      <c r="J10" s="71">
        <f t="shared" si="0"/>
        <v>276</v>
      </c>
      <c r="K10" s="72">
        <f>K9</f>
        <v>0.08</v>
      </c>
      <c r="L10" s="73">
        <f t="shared" ref="L10:M16" si="2">H10*E10+(H10*E10)*$K10</f>
        <v>56700</v>
      </c>
      <c r="M10" s="73">
        <f t="shared" si="2"/>
        <v>245694.6</v>
      </c>
      <c r="N10" s="73">
        <f t="shared" si="1"/>
        <v>132794.64000000001</v>
      </c>
    </row>
    <row r="11" spans="3:15" ht="63.75" x14ac:dyDescent="0.25">
      <c r="C11" s="68" t="s">
        <v>31</v>
      </c>
      <c r="D11" s="68" t="s">
        <v>90</v>
      </c>
      <c r="E11" s="79">
        <f>'wykaz cen przetwarzanie odpadów'!D11</f>
        <v>225</v>
      </c>
      <c r="F11" s="79">
        <f>'wykaz cen przetwarzanie odpadów'!E11</f>
        <v>927</v>
      </c>
      <c r="G11" s="79">
        <f>'wykaz cen przetwarzanie odpadów'!F11</f>
        <v>477.5</v>
      </c>
      <c r="H11" s="71">
        <v>800</v>
      </c>
      <c r="I11" s="71">
        <f t="shared" si="0"/>
        <v>840</v>
      </c>
      <c r="J11" s="71">
        <f t="shared" si="0"/>
        <v>882</v>
      </c>
      <c r="K11" s="72">
        <f t="shared" ref="K11:K15" si="3">K10</f>
        <v>0.08</v>
      </c>
      <c r="L11" s="73">
        <f t="shared" si="2"/>
        <v>194400</v>
      </c>
      <c r="M11" s="73">
        <f t="shared" si="2"/>
        <v>840974.4</v>
      </c>
      <c r="N11" s="73">
        <f t="shared" si="1"/>
        <v>454847.4</v>
      </c>
    </row>
    <row r="12" spans="3:15" x14ac:dyDescent="0.25">
      <c r="C12" s="68" t="s">
        <v>33</v>
      </c>
      <c r="D12" s="68" t="s">
        <v>91</v>
      </c>
      <c r="E12" s="79">
        <f>'wykaz cen przetwarzanie odpadów'!D12</f>
        <v>25</v>
      </c>
      <c r="F12" s="79">
        <f>'wykaz cen przetwarzanie odpadów'!E12</f>
        <v>103</v>
      </c>
      <c r="G12" s="79">
        <f>'wykaz cen przetwarzanie odpadów'!F12</f>
        <v>53</v>
      </c>
      <c r="H12" s="71">
        <v>600</v>
      </c>
      <c r="I12" s="71">
        <f t="shared" si="0"/>
        <v>630</v>
      </c>
      <c r="J12" s="71">
        <f t="shared" si="0"/>
        <v>662</v>
      </c>
      <c r="K12" s="72">
        <f t="shared" si="3"/>
        <v>0.08</v>
      </c>
      <c r="L12" s="73">
        <f t="shared" si="2"/>
        <v>16200</v>
      </c>
      <c r="M12" s="73">
        <f t="shared" si="2"/>
        <v>70081.2</v>
      </c>
      <c r="N12" s="73">
        <f t="shared" si="1"/>
        <v>37892.879999999997</v>
      </c>
    </row>
    <row r="13" spans="3:15" x14ac:dyDescent="0.25">
      <c r="C13" s="68" t="s">
        <v>34</v>
      </c>
      <c r="D13" s="68" t="s">
        <v>92</v>
      </c>
      <c r="E13" s="79">
        <f>'wykaz cen przetwarzanie odpadów'!D13</f>
        <v>63</v>
      </c>
      <c r="F13" s="79">
        <f>'wykaz cen przetwarzanie odpadów'!E13</f>
        <v>258</v>
      </c>
      <c r="G13" s="79">
        <f>'wykaz cen przetwarzanie odpadów'!F13</f>
        <v>133</v>
      </c>
      <c r="H13" s="71">
        <v>400</v>
      </c>
      <c r="I13" s="71">
        <f t="shared" si="0"/>
        <v>420</v>
      </c>
      <c r="J13" s="71">
        <f t="shared" si="0"/>
        <v>441</v>
      </c>
      <c r="K13" s="72">
        <f t="shared" si="3"/>
        <v>0.08</v>
      </c>
      <c r="L13" s="73">
        <f t="shared" si="2"/>
        <v>27216</v>
      </c>
      <c r="M13" s="73">
        <f t="shared" si="2"/>
        <v>117028.8</v>
      </c>
      <c r="N13" s="73">
        <f t="shared" si="1"/>
        <v>63345.24</v>
      </c>
    </row>
    <row r="14" spans="3:15" ht="25.5" x14ac:dyDescent="0.25">
      <c r="C14" s="68" t="s">
        <v>8</v>
      </c>
      <c r="D14" s="68" t="s">
        <v>93</v>
      </c>
      <c r="E14" s="79">
        <f>'wykaz cen przetwarzanie odpadów'!D14</f>
        <v>5</v>
      </c>
      <c r="F14" s="79">
        <f>'wykaz cen przetwarzanie odpadów'!E14</f>
        <v>21</v>
      </c>
      <c r="G14" s="79">
        <f>'wykaz cen przetwarzanie odpadów'!F14</f>
        <v>11</v>
      </c>
      <c r="H14" s="71">
        <v>800</v>
      </c>
      <c r="I14" s="71">
        <f t="shared" si="0"/>
        <v>840</v>
      </c>
      <c r="J14" s="71">
        <f t="shared" si="0"/>
        <v>882</v>
      </c>
      <c r="K14" s="72">
        <f t="shared" si="3"/>
        <v>0.08</v>
      </c>
      <c r="L14" s="73">
        <f t="shared" si="2"/>
        <v>4320</v>
      </c>
      <c r="M14" s="73">
        <f t="shared" si="2"/>
        <v>19051.2</v>
      </c>
      <c r="N14" s="73">
        <f t="shared" si="1"/>
        <v>10478.16</v>
      </c>
    </row>
    <row r="15" spans="3:15" ht="38.25" x14ac:dyDescent="0.25">
      <c r="C15" s="68" t="s">
        <v>39</v>
      </c>
      <c r="D15" s="68" t="s">
        <v>94</v>
      </c>
      <c r="E15" s="79">
        <f>'wykaz cen przetwarzanie odpadów'!D15</f>
        <v>0.5</v>
      </c>
      <c r="F15" s="79">
        <f>'wykaz cen przetwarzanie odpadów'!E15</f>
        <v>2.06</v>
      </c>
      <c r="G15" s="79">
        <f>'wykaz cen przetwarzanie odpadów'!F15</f>
        <v>1</v>
      </c>
      <c r="H15" s="71">
        <v>800</v>
      </c>
      <c r="I15" s="71">
        <f t="shared" si="0"/>
        <v>840</v>
      </c>
      <c r="J15" s="71">
        <f t="shared" si="0"/>
        <v>882</v>
      </c>
      <c r="K15" s="72">
        <f t="shared" si="3"/>
        <v>0.08</v>
      </c>
      <c r="L15" s="73">
        <f t="shared" si="2"/>
        <v>432</v>
      </c>
      <c r="M15" s="73">
        <f t="shared" si="2"/>
        <v>1868.8320000000001</v>
      </c>
      <c r="N15" s="73">
        <f t="shared" si="1"/>
        <v>952.56</v>
      </c>
    </row>
    <row r="16" spans="3:15" x14ac:dyDescent="0.25">
      <c r="C16" s="68" t="s">
        <v>11</v>
      </c>
      <c r="D16" s="68" t="s">
        <v>98</v>
      </c>
      <c r="E16" s="79">
        <f>'wykaz cen przetwarzanie odpadów'!D19</f>
        <v>1</v>
      </c>
      <c r="F16" s="79">
        <f>'wykaz cen przetwarzanie odpadów'!E19</f>
        <v>4.12</v>
      </c>
      <c r="G16" s="79">
        <f>'wykaz cen przetwarzanie odpadów'!F19</f>
        <v>2</v>
      </c>
      <c r="H16" s="71">
        <v>800</v>
      </c>
      <c r="I16" s="71">
        <f t="shared" si="0"/>
        <v>840</v>
      </c>
      <c r="J16" s="71">
        <f t="shared" si="0"/>
        <v>882</v>
      </c>
      <c r="K16" s="72">
        <f>K23</f>
        <v>0.08</v>
      </c>
      <c r="L16" s="73">
        <f t="shared" si="2"/>
        <v>864</v>
      </c>
      <c r="M16" s="73">
        <f t="shared" si="2"/>
        <v>3737.6640000000002</v>
      </c>
      <c r="N16" s="73">
        <f t="shared" si="1"/>
        <v>1905.12</v>
      </c>
    </row>
    <row r="17" spans="1:19" ht="25.5" x14ac:dyDescent="0.25">
      <c r="D17" s="75" t="s">
        <v>106</v>
      </c>
      <c r="H17" s="50"/>
      <c r="I17" s="50"/>
      <c r="J17" s="50"/>
      <c r="K17" s="50"/>
      <c r="L17" s="74">
        <f>SUM(L9:L16)</f>
        <v>435132</v>
      </c>
      <c r="M17" s="74">
        <f>SUM(M9:M16)</f>
        <v>1883559.0959999999</v>
      </c>
      <c r="N17" s="74">
        <f>SUM(N9:N16)</f>
        <v>1018478.8800000001</v>
      </c>
    </row>
    <row r="18" spans="1:19" ht="25.5" x14ac:dyDescent="0.25">
      <c r="D18" s="75" t="s">
        <v>107</v>
      </c>
      <c r="H18" s="234"/>
      <c r="I18" s="234"/>
      <c r="J18" s="234"/>
      <c r="K18" s="50"/>
      <c r="L18" s="235">
        <f>SUM(L17:N17)</f>
        <v>3337169.9759999998</v>
      </c>
      <c r="M18" s="235"/>
      <c r="N18" s="235"/>
    </row>
    <row r="20" spans="1:19" ht="76.5" x14ac:dyDescent="0.25">
      <c r="C20" s="67" t="s">
        <v>44</v>
      </c>
      <c r="D20" s="67" t="s">
        <v>153</v>
      </c>
      <c r="E20" s="70" t="s">
        <v>139</v>
      </c>
      <c r="F20" s="70" t="s">
        <v>140</v>
      </c>
      <c r="G20" s="70" t="s">
        <v>141</v>
      </c>
      <c r="H20" s="70" t="s">
        <v>150</v>
      </c>
      <c r="I20" s="70" t="s">
        <v>151</v>
      </c>
      <c r="J20" s="70" t="s">
        <v>152</v>
      </c>
      <c r="K20" s="70" t="s">
        <v>102</v>
      </c>
      <c r="L20" s="70" t="s">
        <v>103</v>
      </c>
      <c r="M20" s="70" t="s">
        <v>104</v>
      </c>
      <c r="N20" s="70" t="s">
        <v>105</v>
      </c>
      <c r="P20" s="99" t="s">
        <v>195</v>
      </c>
    </row>
    <row r="21" spans="1:19" ht="25.5" x14ac:dyDescent="0.25">
      <c r="C21" s="68" t="s">
        <v>40</v>
      </c>
      <c r="D21" s="68" t="s">
        <v>95</v>
      </c>
      <c r="E21" s="79">
        <f>'wykaz cen przetwarzanie odpadów'!D16</f>
        <v>0.01</v>
      </c>
      <c r="F21" s="79">
        <f>'wykaz cen przetwarzanie odpadów'!E16</f>
        <v>0.05</v>
      </c>
      <c r="G21" s="79">
        <f>'wykaz cen przetwarzanie odpadów'!F16</f>
        <v>0</v>
      </c>
      <c r="H21" s="71">
        <v>2500</v>
      </c>
      <c r="I21" s="71">
        <f t="shared" ref="I21:J23" si="4">ROUND(H21*$I$7+H21,0)</f>
        <v>2625</v>
      </c>
      <c r="J21" s="71">
        <f t="shared" si="4"/>
        <v>2756</v>
      </c>
      <c r="K21" s="72">
        <v>0.08</v>
      </c>
      <c r="L21" s="73">
        <f t="shared" ref="L21:M23" si="5">H21*$K21+H21</f>
        <v>2700</v>
      </c>
      <c r="M21" s="73">
        <f t="shared" si="5"/>
        <v>2835</v>
      </c>
      <c r="N21" s="73">
        <v>0</v>
      </c>
    </row>
    <row r="22" spans="1:19" x14ac:dyDescent="0.25">
      <c r="C22" s="68" t="s">
        <v>42</v>
      </c>
      <c r="D22" s="68" t="s">
        <v>96</v>
      </c>
      <c r="E22" s="79">
        <f>'wykaz cen przetwarzanie odpadów'!D17</f>
        <v>0</v>
      </c>
      <c r="F22" s="79">
        <f>'wykaz cen przetwarzanie odpadów'!E17</f>
        <v>0.01</v>
      </c>
      <c r="G22" s="79">
        <f>'wykaz cen przetwarzanie odpadów'!F17</f>
        <v>0</v>
      </c>
      <c r="H22" s="71">
        <v>2500</v>
      </c>
      <c r="I22" s="71">
        <f t="shared" si="4"/>
        <v>2625</v>
      </c>
      <c r="J22" s="71">
        <f t="shared" si="4"/>
        <v>2756</v>
      </c>
      <c r="K22" s="72">
        <f>K21</f>
        <v>0.08</v>
      </c>
      <c r="L22" s="73">
        <f t="shared" si="5"/>
        <v>2700</v>
      </c>
      <c r="M22" s="73">
        <f t="shared" si="5"/>
        <v>2835</v>
      </c>
      <c r="N22" s="73">
        <v>0</v>
      </c>
    </row>
    <row r="23" spans="1:19" ht="25.5" x14ac:dyDescent="0.25">
      <c r="C23" s="68" t="s">
        <v>41</v>
      </c>
      <c r="D23" s="68" t="s">
        <v>97</v>
      </c>
      <c r="E23" s="79">
        <f>'wykaz cen przetwarzanie odpadów'!D18</f>
        <v>0</v>
      </c>
      <c r="F23" s="79">
        <f>'wykaz cen przetwarzanie odpadów'!E18</f>
        <v>0.01</v>
      </c>
      <c r="G23" s="79">
        <f>'wykaz cen przetwarzanie odpadów'!F18</f>
        <v>0</v>
      </c>
      <c r="H23" s="71">
        <v>2500</v>
      </c>
      <c r="I23" s="71">
        <f t="shared" si="4"/>
        <v>2625</v>
      </c>
      <c r="J23" s="71">
        <f t="shared" si="4"/>
        <v>2756</v>
      </c>
      <c r="K23" s="72">
        <f>K22</f>
        <v>0.08</v>
      </c>
      <c r="L23" s="73">
        <f t="shared" si="5"/>
        <v>2700</v>
      </c>
      <c r="M23" s="73">
        <f t="shared" si="5"/>
        <v>2835</v>
      </c>
      <c r="N23" s="73">
        <v>0</v>
      </c>
    </row>
    <row r="24" spans="1:19" ht="25.5" x14ac:dyDescent="0.25">
      <c r="D24" s="75" t="s">
        <v>106</v>
      </c>
      <c r="L24" s="74">
        <f>SUM(L21:L23)</f>
        <v>8100</v>
      </c>
      <c r="M24" s="74">
        <f t="shared" ref="M24:N24" si="6">SUM(M21:M23)</f>
        <v>8505</v>
      </c>
      <c r="N24" s="74">
        <f t="shared" si="6"/>
        <v>0</v>
      </c>
    </row>
    <row r="25" spans="1:19" ht="25.5" x14ac:dyDescent="0.25">
      <c r="D25" s="75" t="s">
        <v>107</v>
      </c>
      <c r="L25" s="235">
        <f>SUM(L24:N24)</f>
        <v>16605</v>
      </c>
      <c r="M25" s="235"/>
      <c r="N25" s="235"/>
    </row>
    <row r="28" spans="1:19" x14ac:dyDescent="0.25">
      <c r="C28" s="86"/>
    </row>
    <row r="29" spans="1:19" x14ac:dyDescent="0.25">
      <c r="H29" t="s">
        <v>201</v>
      </c>
      <c r="I29" s="97">
        <f>I7</f>
        <v>0.05</v>
      </c>
    </row>
    <row r="30" spans="1:19" ht="141" thickBot="1" x14ac:dyDescent="0.3">
      <c r="A30" s="87" t="s">
        <v>164</v>
      </c>
      <c r="C30" s="88" t="s">
        <v>154</v>
      </c>
      <c r="D30" s="88"/>
      <c r="E30" s="88" t="s">
        <v>158</v>
      </c>
      <c r="F30" s="100" t="s">
        <v>197</v>
      </c>
      <c r="G30" s="89" t="s">
        <v>155</v>
      </c>
      <c r="H30" s="89" t="s">
        <v>156</v>
      </c>
      <c r="I30" s="89" t="s">
        <v>157</v>
      </c>
      <c r="J30" s="89" t="s">
        <v>180</v>
      </c>
      <c r="K30" s="89" t="s">
        <v>181</v>
      </c>
      <c r="L30" s="89" t="s">
        <v>182</v>
      </c>
      <c r="M30" s="89" t="s">
        <v>177</v>
      </c>
      <c r="N30" s="89" t="s">
        <v>178</v>
      </c>
      <c r="O30" s="89" t="s">
        <v>179</v>
      </c>
      <c r="P30" s="89" t="s">
        <v>102</v>
      </c>
      <c r="Q30" s="89" t="s">
        <v>103</v>
      </c>
      <c r="R30" s="89" t="s">
        <v>104</v>
      </c>
      <c r="S30" s="89" t="s">
        <v>105</v>
      </c>
    </row>
    <row r="31" spans="1:19" ht="15.75" customHeight="1" thickBot="1" x14ac:dyDescent="0.3">
      <c r="A31" s="87" t="s">
        <v>165</v>
      </c>
      <c r="C31" s="90" t="s">
        <v>159</v>
      </c>
      <c r="D31" s="152" t="s">
        <v>170</v>
      </c>
      <c r="E31" s="4" t="s">
        <v>160</v>
      </c>
      <c r="F31" s="135">
        <v>645</v>
      </c>
      <c r="G31" s="4">
        <f>'odbieranie - bez mycia'!G31</f>
        <v>650</v>
      </c>
      <c r="H31" s="4">
        <f>G31</f>
        <v>650</v>
      </c>
      <c r="I31" s="4">
        <f>H31</f>
        <v>650</v>
      </c>
      <c r="J31" s="136">
        <f>120/60+5/12*0</f>
        <v>2</v>
      </c>
      <c r="K31" s="137">
        <f t="shared" ref="K31:L51" si="7">ROUND(J31*$I$29+J31,2)</f>
        <v>2.1</v>
      </c>
      <c r="L31" s="137">
        <f t="shared" si="7"/>
        <v>2.21</v>
      </c>
      <c r="M31" s="138">
        <f>G31*J31*3</f>
        <v>3900</v>
      </c>
      <c r="N31" s="138">
        <f>H31*K31*12</f>
        <v>16380</v>
      </c>
      <c r="O31" s="138">
        <f>I31*L31*6</f>
        <v>8619</v>
      </c>
      <c r="P31" s="134">
        <v>0.08</v>
      </c>
      <c r="Q31" s="131">
        <f>ROUND(M31*$P$31+M31,2)</f>
        <v>4212</v>
      </c>
      <c r="R31" s="131">
        <f t="shared" ref="R31:S46" si="8">ROUND(N31*$P$31+N31,2)</f>
        <v>17690.400000000001</v>
      </c>
      <c r="S31" s="139">
        <f t="shared" si="8"/>
        <v>9308.52</v>
      </c>
    </row>
    <row r="32" spans="1:19" ht="16.5" customHeight="1" thickBot="1" x14ac:dyDescent="0.3">
      <c r="A32" s="66">
        <f>150+3829</f>
        <v>3979</v>
      </c>
      <c r="C32" s="91"/>
      <c r="D32" s="147" t="s">
        <v>199</v>
      </c>
      <c r="E32" s="1" t="s">
        <v>161</v>
      </c>
      <c r="F32" s="101">
        <v>3282</v>
      </c>
      <c r="G32" s="4">
        <f>'odbieranie - bez mycia'!G32</f>
        <v>3200</v>
      </c>
      <c r="H32" s="1">
        <f>G32</f>
        <v>3200</v>
      </c>
      <c r="I32" s="1">
        <f>H32</f>
        <v>3200</v>
      </c>
      <c r="J32" s="94">
        <f>180/60+5/12*0</f>
        <v>3</v>
      </c>
      <c r="K32" s="132">
        <f t="shared" si="7"/>
        <v>3.15</v>
      </c>
      <c r="L32" s="132">
        <f t="shared" si="7"/>
        <v>3.31</v>
      </c>
      <c r="M32" s="133">
        <f t="shared" ref="M32:M50" si="9">G32*J32*3</f>
        <v>28800</v>
      </c>
      <c r="N32" s="133">
        <f t="shared" ref="N32:N50" si="10">H32*K32*12</f>
        <v>120960</v>
      </c>
      <c r="O32" s="133">
        <f t="shared" ref="O32:O50" si="11">I32*L32*6</f>
        <v>63552</v>
      </c>
      <c r="P32" s="148">
        <f>P31</f>
        <v>0.08</v>
      </c>
      <c r="Q32" s="149">
        <f t="shared" ref="Q32:S47" si="12">ROUND(M32*$P$31+M32,2)</f>
        <v>31104</v>
      </c>
      <c r="R32" s="149">
        <f t="shared" si="8"/>
        <v>130636.8</v>
      </c>
      <c r="S32" s="153">
        <f t="shared" si="8"/>
        <v>68636.160000000003</v>
      </c>
    </row>
    <row r="33" spans="1:19" ht="15.75" thickBot="1" x14ac:dyDescent="0.3">
      <c r="C33" s="91"/>
      <c r="D33" s="147" t="s">
        <v>172</v>
      </c>
      <c r="E33" s="1" t="s">
        <v>161</v>
      </c>
      <c r="F33" s="101">
        <v>26</v>
      </c>
      <c r="G33" s="4">
        <f>'odbieranie - bez mycia'!G33</f>
        <v>100</v>
      </c>
      <c r="H33" s="1">
        <f t="shared" ref="H33:I34" si="13">G33</f>
        <v>100</v>
      </c>
      <c r="I33" s="1">
        <f t="shared" si="13"/>
        <v>100</v>
      </c>
      <c r="J33" s="94">
        <f>ROUND(220/60,1)+5/12*0</f>
        <v>3.7</v>
      </c>
      <c r="K33" s="132">
        <f t="shared" si="7"/>
        <v>3.89</v>
      </c>
      <c r="L33" s="132">
        <f t="shared" si="7"/>
        <v>4.08</v>
      </c>
      <c r="M33" s="133">
        <f t="shared" si="9"/>
        <v>1110</v>
      </c>
      <c r="N33" s="133">
        <f t="shared" si="10"/>
        <v>4668</v>
      </c>
      <c r="O33" s="133">
        <f t="shared" si="11"/>
        <v>2448</v>
      </c>
      <c r="P33" s="148">
        <f t="shared" ref="P33:P51" si="14">P32</f>
        <v>0.08</v>
      </c>
      <c r="Q33" s="149">
        <f t="shared" si="12"/>
        <v>1198.8</v>
      </c>
      <c r="R33" s="149">
        <f t="shared" si="8"/>
        <v>5041.4399999999996</v>
      </c>
      <c r="S33" s="153">
        <f t="shared" si="8"/>
        <v>2643.84</v>
      </c>
    </row>
    <row r="34" spans="1:19" ht="16.5" customHeight="1" thickBot="1" x14ac:dyDescent="0.3">
      <c r="C34" s="140"/>
      <c r="D34" s="154" t="s">
        <v>173</v>
      </c>
      <c r="E34" s="7" t="s">
        <v>162</v>
      </c>
      <c r="F34" s="141">
        <f>85+12</f>
        <v>97</v>
      </c>
      <c r="G34" s="4" t="e">
        <f>'odbieranie - bez mycia'!G34</f>
        <v>#REF!</v>
      </c>
      <c r="H34" s="7" t="e">
        <f t="shared" si="13"/>
        <v>#REF!</v>
      </c>
      <c r="I34" s="7" t="e">
        <f t="shared" si="13"/>
        <v>#REF!</v>
      </c>
      <c r="J34" s="142">
        <f>750/60+15/12*0</f>
        <v>12.5</v>
      </c>
      <c r="K34" s="143">
        <f t="shared" si="7"/>
        <v>13.13</v>
      </c>
      <c r="L34" s="143">
        <f t="shared" si="7"/>
        <v>13.79</v>
      </c>
      <c r="M34" s="144" t="e">
        <f t="shared" si="9"/>
        <v>#REF!</v>
      </c>
      <c r="N34" s="144" t="e">
        <f t="shared" si="10"/>
        <v>#REF!</v>
      </c>
      <c r="O34" s="144" t="e">
        <f t="shared" si="11"/>
        <v>#REF!</v>
      </c>
      <c r="P34" s="155">
        <f t="shared" si="14"/>
        <v>0.08</v>
      </c>
      <c r="Q34" s="156" t="e">
        <f t="shared" si="12"/>
        <v>#REF!</v>
      </c>
      <c r="R34" s="156" t="e">
        <f t="shared" si="8"/>
        <v>#REF!</v>
      </c>
      <c r="S34" s="157" t="e">
        <f t="shared" si="8"/>
        <v>#REF!</v>
      </c>
    </row>
    <row r="35" spans="1:19" x14ac:dyDescent="0.25">
      <c r="C35" s="3" t="s">
        <v>163</v>
      </c>
      <c r="D35" s="152" t="s">
        <v>170</v>
      </c>
      <c r="E35" s="126" t="s">
        <v>169</v>
      </c>
      <c r="F35" s="135"/>
      <c r="G35" s="246">
        <f>ROUND(E12/0.003,-2)*0.75</f>
        <v>6225</v>
      </c>
      <c r="H35" s="246">
        <f t="shared" ref="H35:I35" si="15">ROUND(F12/0.003,-2)*0.75</f>
        <v>25725</v>
      </c>
      <c r="I35" s="246">
        <f t="shared" si="15"/>
        <v>13275</v>
      </c>
      <c r="J35" s="248">
        <v>0.4</v>
      </c>
      <c r="K35" s="250">
        <f t="shared" si="7"/>
        <v>0.42</v>
      </c>
      <c r="L35" s="250">
        <f t="shared" si="7"/>
        <v>0.44</v>
      </c>
      <c r="M35" s="240">
        <f t="shared" si="9"/>
        <v>7470</v>
      </c>
      <c r="N35" s="240">
        <f t="shared" si="10"/>
        <v>129654</v>
      </c>
      <c r="O35" s="240">
        <f t="shared" si="11"/>
        <v>35046</v>
      </c>
      <c r="P35" s="240">
        <f t="shared" si="14"/>
        <v>0.08</v>
      </c>
      <c r="Q35" s="242">
        <f t="shared" si="12"/>
        <v>8067.6</v>
      </c>
      <c r="R35" s="242">
        <f t="shared" si="8"/>
        <v>140026.32</v>
      </c>
      <c r="S35" s="244">
        <f t="shared" si="8"/>
        <v>37849.68</v>
      </c>
    </row>
    <row r="36" spans="1:19" x14ac:dyDescent="0.25">
      <c r="C36" s="5"/>
      <c r="D36" s="147" t="s">
        <v>171</v>
      </c>
      <c r="E36" s="23" t="s">
        <v>169</v>
      </c>
      <c r="F36" s="101"/>
      <c r="G36" s="247"/>
      <c r="H36" s="247"/>
      <c r="I36" s="247"/>
      <c r="J36" s="249">
        <v>0</v>
      </c>
      <c r="K36" s="251">
        <f t="shared" si="7"/>
        <v>0</v>
      </c>
      <c r="L36" s="251">
        <f t="shared" si="7"/>
        <v>0</v>
      </c>
      <c r="M36" s="241">
        <f t="shared" si="9"/>
        <v>0</v>
      </c>
      <c r="N36" s="241">
        <f t="shared" si="10"/>
        <v>0</v>
      </c>
      <c r="O36" s="241">
        <f t="shared" si="11"/>
        <v>0</v>
      </c>
      <c r="P36" s="241">
        <f t="shared" si="14"/>
        <v>0.08</v>
      </c>
      <c r="Q36" s="243">
        <f t="shared" si="12"/>
        <v>0</v>
      </c>
      <c r="R36" s="243">
        <f t="shared" si="8"/>
        <v>0</v>
      </c>
      <c r="S36" s="245">
        <f t="shared" si="8"/>
        <v>0</v>
      </c>
    </row>
    <row r="37" spans="1:19" x14ac:dyDescent="0.25">
      <c r="C37" s="5"/>
      <c r="D37" s="147" t="s">
        <v>172</v>
      </c>
      <c r="E37" s="1" t="s">
        <v>161</v>
      </c>
      <c r="F37" s="101"/>
      <c r="G37" s="1">
        <f t="shared" ref="G37:G38" si="16">G33</f>
        <v>100</v>
      </c>
      <c r="H37" s="1">
        <f t="shared" ref="H37:I38" si="17">G37</f>
        <v>100</v>
      </c>
      <c r="I37" s="1">
        <f t="shared" si="17"/>
        <v>100</v>
      </c>
      <c r="J37" s="95">
        <f t="shared" ref="J37:J46" si="18">J33</f>
        <v>3.7</v>
      </c>
      <c r="K37" s="95">
        <f t="shared" si="7"/>
        <v>3.89</v>
      </c>
      <c r="L37" s="95">
        <f t="shared" si="7"/>
        <v>4.08</v>
      </c>
      <c r="M37" s="1">
        <f t="shared" si="9"/>
        <v>1110</v>
      </c>
      <c r="N37" s="1">
        <f t="shared" si="10"/>
        <v>4668</v>
      </c>
      <c r="O37" s="1">
        <f t="shared" si="11"/>
        <v>2448</v>
      </c>
      <c r="P37" s="39">
        <f t="shared" si="14"/>
        <v>0.08</v>
      </c>
      <c r="Q37" s="150">
        <f t="shared" si="12"/>
        <v>1198.8</v>
      </c>
      <c r="R37" s="150">
        <f t="shared" si="8"/>
        <v>5041.4399999999996</v>
      </c>
      <c r="S37" s="158">
        <f t="shared" si="8"/>
        <v>2643.84</v>
      </c>
    </row>
    <row r="38" spans="1:19" ht="15.75" thickBot="1" x14ac:dyDescent="0.3">
      <c r="C38" s="6"/>
      <c r="D38" s="154" t="s">
        <v>173</v>
      </c>
      <c r="E38" s="7" t="s">
        <v>162</v>
      </c>
      <c r="F38" s="141"/>
      <c r="G38" s="7" t="e">
        <f t="shared" si="16"/>
        <v>#REF!</v>
      </c>
      <c r="H38" s="7" t="e">
        <f t="shared" si="17"/>
        <v>#REF!</v>
      </c>
      <c r="I38" s="7" t="e">
        <f t="shared" si="17"/>
        <v>#REF!</v>
      </c>
      <c r="J38" s="146">
        <f t="shared" si="18"/>
        <v>12.5</v>
      </c>
      <c r="K38" s="146">
        <f t="shared" si="7"/>
        <v>13.13</v>
      </c>
      <c r="L38" s="146">
        <f t="shared" si="7"/>
        <v>13.79</v>
      </c>
      <c r="M38" s="7" t="e">
        <f t="shared" si="9"/>
        <v>#REF!</v>
      </c>
      <c r="N38" s="7" t="e">
        <f t="shared" si="10"/>
        <v>#REF!</v>
      </c>
      <c r="O38" s="7" t="e">
        <f t="shared" si="11"/>
        <v>#REF!</v>
      </c>
      <c r="P38" s="159">
        <f t="shared" si="14"/>
        <v>0.08</v>
      </c>
      <c r="Q38" s="160" t="e">
        <f t="shared" si="12"/>
        <v>#REF!</v>
      </c>
      <c r="R38" s="160" t="e">
        <f t="shared" si="8"/>
        <v>#REF!</v>
      </c>
      <c r="S38" s="161" t="e">
        <f t="shared" si="8"/>
        <v>#REF!</v>
      </c>
    </row>
    <row r="39" spans="1:19" x14ac:dyDescent="0.25">
      <c r="C39" s="3" t="s">
        <v>166</v>
      </c>
      <c r="D39" s="152" t="s">
        <v>170</v>
      </c>
      <c r="E39" s="4" t="s">
        <v>160</v>
      </c>
      <c r="F39" s="135">
        <v>355</v>
      </c>
      <c r="G39" s="4">
        <v>650</v>
      </c>
      <c r="H39" s="4">
        <f>G39</f>
        <v>650</v>
      </c>
      <c r="I39" s="4">
        <f>H39</f>
        <v>650</v>
      </c>
      <c r="J39" s="162">
        <f>J31</f>
        <v>2</v>
      </c>
      <c r="K39" s="162">
        <f t="shared" si="7"/>
        <v>2.1</v>
      </c>
      <c r="L39" s="162">
        <f t="shared" si="7"/>
        <v>2.21</v>
      </c>
      <c r="M39" s="4">
        <f t="shared" si="9"/>
        <v>3900</v>
      </c>
      <c r="N39" s="4">
        <f t="shared" si="10"/>
        <v>16380</v>
      </c>
      <c r="O39" s="4">
        <f t="shared" si="11"/>
        <v>8619</v>
      </c>
      <c r="P39" s="93">
        <f t="shared" si="14"/>
        <v>0.08</v>
      </c>
      <c r="Q39" s="98">
        <f t="shared" si="12"/>
        <v>4212</v>
      </c>
      <c r="R39" s="98">
        <f t="shared" si="8"/>
        <v>17690.400000000001</v>
      </c>
      <c r="S39" s="145">
        <f t="shared" si="8"/>
        <v>9308.52</v>
      </c>
    </row>
    <row r="40" spans="1:19" x14ac:dyDescent="0.25">
      <c r="C40" s="5"/>
      <c r="D40" s="147" t="s">
        <v>171</v>
      </c>
      <c r="E40" s="1" t="s">
        <v>161</v>
      </c>
      <c r="F40" s="101">
        <v>3339</v>
      </c>
      <c r="G40" s="1">
        <f>G32</f>
        <v>3200</v>
      </c>
      <c r="H40" s="1">
        <f>G40</f>
        <v>3200</v>
      </c>
      <c r="I40" s="1">
        <f>H40</f>
        <v>3200</v>
      </c>
      <c r="J40" s="95">
        <f>J32</f>
        <v>3</v>
      </c>
      <c r="K40" s="95">
        <f t="shared" si="7"/>
        <v>3.15</v>
      </c>
      <c r="L40" s="95">
        <f t="shared" si="7"/>
        <v>3.31</v>
      </c>
      <c r="M40" s="1">
        <f t="shared" si="9"/>
        <v>28800</v>
      </c>
      <c r="N40" s="1">
        <f t="shared" si="10"/>
        <v>120960</v>
      </c>
      <c r="O40" s="1">
        <f t="shared" si="11"/>
        <v>63552</v>
      </c>
      <c r="P40" s="39">
        <f t="shared" si="14"/>
        <v>0.08</v>
      </c>
      <c r="Q40" s="150">
        <f t="shared" si="12"/>
        <v>31104</v>
      </c>
      <c r="R40" s="150">
        <f t="shared" si="8"/>
        <v>130636.8</v>
      </c>
      <c r="S40" s="158">
        <f t="shared" si="8"/>
        <v>68636.160000000003</v>
      </c>
    </row>
    <row r="41" spans="1:19" x14ac:dyDescent="0.25">
      <c r="C41" s="5"/>
      <c r="D41" s="147" t="s">
        <v>172</v>
      </c>
      <c r="E41" s="1" t="s">
        <v>161</v>
      </c>
      <c r="F41" s="101">
        <v>29</v>
      </c>
      <c r="G41" s="1">
        <f t="shared" ref="G41:G46" si="19">G37</f>
        <v>100</v>
      </c>
      <c r="H41" s="1">
        <f t="shared" ref="H41:I42" si="20">G41</f>
        <v>100</v>
      </c>
      <c r="I41" s="1">
        <f t="shared" si="20"/>
        <v>100</v>
      </c>
      <c r="J41" s="95">
        <f t="shared" si="18"/>
        <v>3.7</v>
      </c>
      <c r="K41" s="95">
        <f t="shared" si="7"/>
        <v>3.89</v>
      </c>
      <c r="L41" s="95">
        <f t="shared" si="7"/>
        <v>4.08</v>
      </c>
      <c r="M41" s="1">
        <f t="shared" si="9"/>
        <v>1110</v>
      </c>
      <c r="N41" s="1">
        <f t="shared" si="10"/>
        <v>4668</v>
      </c>
      <c r="O41" s="1">
        <f t="shared" si="11"/>
        <v>2448</v>
      </c>
      <c r="P41" s="39">
        <f t="shared" si="14"/>
        <v>0.08</v>
      </c>
      <c r="Q41" s="150">
        <f t="shared" si="12"/>
        <v>1198.8</v>
      </c>
      <c r="R41" s="150">
        <f t="shared" si="8"/>
        <v>5041.4399999999996</v>
      </c>
      <c r="S41" s="158">
        <f t="shared" si="8"/>
        <v>2643.84</v>
      </c>
    </row>
    <row r="42" spans="1:19" ht="15.75" thickBot="1" x14ac:dyDescent="0.3">
      <c r="C42" s="6"/>
      <c r="D42" s="154" t="s">
        <v>173</v>
      </c>
      <c r="E42" s="7" t="s">
        <v>162</v>
      </c>
      <c r="F42" s="141">
        <f>28+2</f>
        <v>30</v>
      </c>
      <c r="G42" s="7" t="e">
        <f t="shared" si="19"/>
        <v>#REF!</v>
      </c>
      <c r="H42" s="7" t="e">
        <f t="shared" si="20"/>
        <v>#REF!</v>
      </c>
      <c r="I42" s="7" t="e">
        <f t="shared" si="20"/>
        <v>#REF!</v>
      </c>
      <c r="J42" s="146">
        <f t="shared" si="18"/>
        <v>12.5</v>
      </c>
      <c r="K42" s="146">
        <f t="shared" si="7"/>
        <v>13.13</v>
      </c>
      <c r="L42" s="146">
        <f t="shared" si="7"/>
        <v>13.79</v>
      </c>
      <c r="M42" s="7" t="e">
        <f t="shared" si="9"/>
        <v>#REF!</v>
      </c>
      <c r="N42" s="7" t="e">
        <f t="shared" si="10"/>
        <v>#REF!</v>
      </c>
      <c r="O42" s="7" t="e">
        <f t="shared" si="11"/>
        <v>#REF!</v>
      </c>
      <c r="P42" s="159">
        <f t="shared" si="14"/>
        <v>0.08</v>
      </c>
      <c r="Q42" s="160" t="e">
        <f t="shared" si="12"/>
        <v>#REF!</v>
      </c>
      <c r="R42" s="160" t="e">
        <f t="shared" si="8"/>
        <v>#REF!</v>
      </c>
      <c r="S42" s="161" t="e">
        <f t="shared" si="8"/>
        <v>#REF!</v>
      </c>
    </row>
    <row r="43" spans="1:19" ht="33.75" customHeight="1" x14ac:dyDescent="0.25">
      <c r="A43" s="87" t="s">
        <v>175</v>
      </c>
      <c r="C43" s="3" t="s">
        <v>167</v>
      </c>
      <c r="D43" s="152" t="s">
        <v>170</v>
      </c>
      <c r="E43" s="4" t="s">
        <v>160</v>
      </c>
      <c r="F43" s="135">
        <v>2135</v>
      </c>
      <c r="G43" s="4">
        <f>ROUND(G39*75%,0)</f>
        <v>488</v>
      </c>
      <c r="H43" s="4">
        <f>G43</f>
        <v>488</v>
      </c>
      <c r="I43" s="4">
        <f>H43</f>
        <v>488</v>
      </c>
      <c r="J43" s="162">
        <f t="shared" si="18"/>
        <v>2</v>
      </c>
      <c r="K43" s="162">
        <f t="shared" si="7"/>
        <v>2.1</v>
      </c>
      <c r="L43" s="162">
        <f t="shared" si="7"/>
        <v>2.21</v>
      </c>
      <c r="M43" s="4">
        <f t="shared" si="9"/>
        <v>2928</v>
      </c>
      <c r="N43" s="4">
        <f t="shared" si="10"/>
        <v>12297.599999999999</v>
      </c>
      <c r="O43" s="4">
        <f t="shared" si="11"/>
        <v>6470.88</v>
      </c>
      <c r="P43" s="93">
        <f t="shared" si="14"/>
        <v>0.08</v>
      </c>
      <c r="Q43" s="98">
        <f t="shared" si="12"/>
        <v>3162.24</v>
      </c>
      <c r="R43" s="98">
        <f t="shared" si="8"/>
        <v>13281.41</v>
      </c>
      <c r="S43" s="145">
        <f t="shared" si="8"/>
        <v>6988.55</v>
      </c>
    </row>
    <row r="44" spans="1:19" ht="30" x14ac:dyDescent="0.25">
      <c r="A44" s="87" t="s">
        <v>175</v>
      </c>
      <c r="C44" s="5"/>
      <c r="D44" s="147" t="s">
        <v>171</v>
      </c>
      <c r="E44" s="1" t="s">
        <v>161</v>
      </c>
      <c r="F44" s="101">
        <v>91</v>
      </c>
      <c r="G44" s="1">
        <f>G40*75%</f>
        <v>2400</v>
      </c>
      <c r="H44" s="1">
        <f>G44</f>
        <v>2400</v>
      </c>
      <c r="I44" s="1">
        <f>H44</f>
        <v>2400</v>
      </c>
      <c r="J44" s="95">
        <f t="shared" si="18"/>
        <v>3</v>
      </c>
      <c r="K44" s="95">
        <f t="shared" si="7"/>
        <v>3.15</v>
      </c>
      <c r="L44" s="95">
        <f t="shared" si="7"/>
        <v>3.31</v>
      </c>
      <c r="M44" s="1">
        <f t="shared" si="9"/>
        <v>21600</v>
      </c>
      <c r="N44" s="1">
        <f t="shared" si="10"/>
        <v>90720</v>
      </c>
      <c r="O44" s="1">
        <f t="shared" si="11"/>
        <v>47664</v>
      </c>
      <c r="P44" s="39">
        <f t="shared" si="14"/>
        <v>0.08</v>
      </c>
      <c r="Q44" s="150">
        <f t="shared" si="12"/>
        <v>23328</v>
      </c>
      <c r="R44" s="150">
        <f t="shared" si="8"/>
        <v>97977.600000000006</v>
      </c>
      <c r="S44" s="158">
        <f t="shared" si="8"/>
        <v>51477.120000000003</v>
      </c>
    </row>
    <row r="45" spans="1:19" x14ac:dyDescent="0.25">
      <c r="C45" s="5"/>
      <c r="D45" s="147" t="s">
        <v>172</v>
      </c>
      <c r="E45" s="1" t="s">
        <v>161</v>
      </c>
      <c r="F45" s="101">
        <v>7</v>
      </c>
      <c r="G45" s="1">
        <f t="shared" si="19"/>
        <v>100</v>
      </c>
      <c r="H45" s="1">
        <f t="shared" ref="H45:I46" si="21">G45</f>
        <v>100</v>
      </c>
      <c r="I45" s="1">
        <f t="shared" si="21"/>
        <v>100</v>
      </c>
      <c r="J45" s="95">
        <f t="shared" si="18"/>
        <v>3.7</v>
      </c>
      <c r="K45" s="95">
        <f t="shared" si="7"/>
        <v>3.89</v>
      </c>
      <c r="L45" s="95">
        <f t="shared" si="7"/>
        <v>4.08</v>
      </c>
      <c r="M45" s="1">
        <f t="shared" si="9"/>
        <v>1110</v>
      </c>
      <c r="N45" s="1">
        <f t="shared" si="10"/>
        <v>4668</v>
      </c>
      <c r="O45" s="1">
        <f t="shared" si="11"/>
        <v>2448</v>
      </c>
      <c r="P45" s="39">
        <f t="shared" si="14"/>
        <v>0.08</v>
      </c>
      <c r="Q45" s="150">
        <f t="shared" si="12"/>
        <v>1198.8</v>
      </c>
      <c r="R45" s="150">
        <f t="shared" si="8"/>
        <v>5041.4399999999996</v>
      </c>
      <c r="S45" s="158">
        <f t="shared" si="8"/>
        <v>2643.84</v>
      </c>
    </row>
    <row r="46" spans="1:19" ht="15.75" thickBot="1" x14ac:dyDescent="0.3">
      <c r="C46" s="6"/>
      <c r="D46" s="154" t="s">
        <v>173</v>
      </c>
      <c r="E46" s="7" t="s">
        <v>162</v>
      </c>
      <c r="F46" s="141">
        <f>16</f>
        <v>16</v>
      </c>
      <c r="G46" s="7" t="e">
        <f t="shared" si="19"/>
        <v>#REF!</v>
      </c>
      <c r="H46" s="7" t="e">
        <f t="shared" si="21"/>
        <v>#REF!</v>
      </c>
      <c r="I46" s="7" t="e">
        <f t="shared" si="21"/>
        <v>#REF!</v>
      </c>
      <c r="J46" s="146">
        <f t="shared" si="18"/>
        <v>12.5</v>
      </c>
      <c r="K46" s="146">
        <f t="shared" si="7"/>
        <v>13.13</v>
      </c>
      <c r="L46" s="146">
        <f t="shared" si="7"/>
        <v>13.79</v>
      </c>
      <c r="M46" s="7" t="e">
        <f t="shared" si="9"/>
        <v>#REF!</v>
      </c>
      <c r="N46" s="7" t="e">
        <f t="shared" si="10"/>
        <v>#REF!</v>
      </c>
      <c r="O46" s="7" t="e">
        <f t="shared" si="11"/>
        <v>#REF!</v>
      </c>
      <c r="P46" s="159">
        <f t="shared" si="14"/>
        <v>0.08</v>
      </c>
      <c r="Q46" s="160" t="e">
        <f t="shared" si="12"/>
        <v>#REF!</v>
      </c>
      <c r="R46" s="160" t="e">
        <f t="shared" si="8"/>
        <v>#REF!</v>
      </c>
      <c r="S46" s="161" t="e">
        <f t="shared" si="8"/>
        <v>#REF!</v>
      </c>
    </row>
    <row r="47" spans="1:19" x14ac:dyDescent="0.25">
      <c r="A47" s="87" t="s">
        <v>176</v>
      </c>
      <c r="B47" s="47"/>
      <c r="C47" s="3" t="s">
        <v>168</v>
      </c>
      <c r="D47" s="152" t="s">
        <v>170</v>
      </c>
      <c r="E47" s="126" t="s">
        <v>160</v>
      </c>
      <c r="F47" s="171"/>
      <c r="G47" s="172">
        <f>G39</f>
        <v>650</v>
      </c>
      <c r="H47" s="172">
        <f t="shared" ref="H47:I48" si="22">H39</f>
        <v>650</v>
      </c>
      <c r="I47" s="172">
        <f t="shared" si="22"/>
        <v>650</v>
      </c>
      <c r="J47" s="162">
        <f>J43</f>
        <v>2</v>
      </c>
      <c r="K47" s="162">
        <f t="shared" si="7"/>
        <v>2.1</v>
      </c>
      <c r="L47" s="162">
        <f t="shared" si="7"/>
        <v>2.21</v>
      </c>
      <c r="M47" s="4">
        <f t="shared" si="9"/>
        <v>3900</v>
      </c>
      <c r="N47" s="4">
        <f t="shared" si="10"/>
        <v>16380</v>
      </c>
      <c r="O47" s="4">
        <f t="shared" si="11"/>
        <v>8619</v>
      </c>
      <c r="P47" s="93">
        <f t="shared" si="14"/>
        <v>0.08</v>
      </c>
      <c r="Q47" s="98">
        <f t="shared" si="12"/>
        <v>4212</v>
      </c>
      <c r="R47" s="145">
        <f t="shared" si="12"/>
        <v>17690.400000000001</v>
      </c>
      <c r="S47" s="163">
        <f t="shared" si="12"/>
        <v>9308.52</v>
      </c>
    </row>
    <row r="48" spans="1:19" x14ac:dyDescent="0.25">
      <c r="A48" s="87"/>
      <c r="B48" s="47"/>
      <c r="C48" s="5"/>
      <c r="D48" s="147" t="s">
        <v>171</v>
      </c>
      <c r="E48" s="23" t="s">
        <v>160</v>
      </c>
      <c r="F48" s="109"/>
      <c r="G48" s="127">
        <f>G40</f>
        <v>3200</v>
      </c>
      <c r="H48" s="127">
        <f t="shared" si="22"/>
        <v>3200</v>
      </c>
      <c r="I48" s="127">
        <f t="shared" si="22"/>
        <v>3200</v>
      </c>
      <c r="J48" s="95">
        <f>J47</f>
        <v>2</v>
      </c>
      <c r="K48" s="95">
        <f t="shared" si="7"/>
        <v>2.1</v>
      </c>
      <c r="L48" s="95">
        <f t="shared" si="7"/>
        <v>2.21</v>
      </c>
      <c r="M48" s="1">
        <f t="shared" si="9"/>
        <v>19200</v>
      </c>
      <c r="N48" s="1">
        <f t="shared" si="10"/>
        <v>80640</v>
      </c>
      <c r="O48" s="1">
        <f t="shared" si="11"/>
        <v>42432</v>
      </c>
      <c r="P48" s="39">
        <f t="shared" si="14"/>
        <v>0.08</v>
      </c>
      <c r="Q48" s="150">
        <f t="shared" ref="Q48:S51" si="23">ROUND(M48*$P$31+M48,2)</f>
        <v>20736</v>
      </c>
      <c r="R48" s="158">
        <f t="shared" si="23"/>
        <v>87091.199999999997</v>
      </c>
      <c r="S48" s="164">
        <f t="shared" si="23"/>
        <v>45826.559999999998</v>
      </c>
    </row>
    <row r="49" spans="1:19" ht="30" x14ac:dyDescent="0.25">
      <c r="A49" s="87"/>
      <c r="B49" s="47"/>
      <c r="C49" s="5"/>
      <c r="D49" s="147" t="s">
        <v>174</v>
      </c>
      <c r="E49" s="1" t="s">
        <v>455</v>
      </c>
      <c r="F49" s="101"/>
      <c r="G49" s="1">
        <f>G45</f>
        <v>100</v>
      </c>
      <c r="H49" s="1">
        <f>G49</f>
        <v>100</v>
      </c>
      <c r="I49" s="1">
        <f>H49</f>
        <v>100</v>
      </c>
      <c r="J49" s="95">
        <f>J45</f>
        <v>3.7</v>
      </c>
      <c r="K49" s="95">
        <f t="shared" si="7"/>
        <v>3.89</v>
      </c>
      <c r="L49" s="95">
        <f t="shared" si="7"/>
        <v>4.08</v>
      </c>
      <c r="M49" s="1">
        <f t="shared" si="9"/>
        <v>1110</v>
      </c>
      <c r="N49" s="1">
        <f t="shared" si="10"/>
        <v>4668</v>
      </c>
      <c r="O49" s="1">
        <f t="shared" si="11"/>
        <v>2448</v>
      </c>
      <c r="P49" s="39">
        <f>P47</f>
        <v>0.08</v>
      </c>
      <c r="Q49" s="150">
        <f>ROUND(M49*$P$31+M49,2)</f>
        <v>1198.8</v>
      </c>
      <c r="R49" s="158">
        <f t="shared" si="23"/>
        <v>5041.4399999999996</v>
      </c>
      <c r="S49" s="164">
        <f t="shared" si="23"/>
        <v>2643.84</v>
      </c>
    </row>
    <row r="50" spans="1:19" ht="15.75" thickBot="1" x14ac:dyDescent="0.3">
      <c r="A50" s="87"/>
      <c r="B50" s="47"/>
      <c r="C50" s="6"/>
      <c r="D50" s="154" t="s">
        <v>173</v>
      </c>
      <c r="E50" s="7" t="s">
        <v>162</v>
      </c>
      <c r="F50" s="141"/>
      <c r="G50" s="7">
        <v>100</v>
      </c>
      <c r="H50" s="7">
        <f>G50</f>
        <v>100</v>
      </c>
      <c r="I50" s="7">
        <f>H50</f>
        <v>100</v>
      </c>
      <c r="J50" s="146">
        <f>J46</f>
        <v>12.5</v>
      </c>
      <c r="K50" s="146">
        <f t="shared" si="7"/>
        <v>13.13</v>
      </c>
      <c r="L50" s="146">
        <f t="shared" si="7"/>
        <v>13.79</v>
      </c>
      <c r="M50" s="7">
        <f t="shared" si="9"/>
        <v>3750</v>
      </c>
      <c r="N50" s="7">
        <f t="shared" si="10"/>
        <v>15756</v>
      </c>
      <c r="O50" s="7">
        <f t="shared" si="11"/>
        <v>8274</v>
      </c>
      <c r="P50" s="159">
        <f t="shared" si="14"/>
        <v>0.08</v>
      </c>
      <c r="Q50" s="160">
        <f t="shared" ref="Q50:Q51" si="24">ROUND(M50*$P$31+M50,2)</f>
        <v>4050</v>
      </c>
      <c r="R50" s="161">
        <f t="shared" si="23"/>
        <v>17016.48</v>
      </c>
      <c r="S50" s="164">
        <f t="shared" si="23"/>
        <v>8935.92</v>
      </c>
    </row>
    <row r="51" spans="1:19" s="130" customFormat="1" ht="57" x14ac:dyDescent="0.25">
      <c r="A51" s="128" t="s">
        <v>192</v>
      </c>
      <c r="B51" s="129" t="s">
        <v>198</v>
      </c>
      <c r="C51" s="165" t="s">
        <v>193</v>
      </c>
      <c r="D51" s="165" t="s">
        <v>191</v>
      </c>
      <c r="E51" s="166" t="s">
        <v>169</v>
      </c>
      <c r="F51" s="167" t="s">
        <v>202</v>
      </c>
      <c r="G51" s="168">
        <f>SUM(E10:E13)*0.3/0.005*0</f>
        <v>0</v>
      </c>
      <c r="H51" s="168">
        <f>SUM(F10:F13)*0.3/0.005*0</f>
        <v>0</v>
      </c>
      <c r="I51" s="168">
        <f>SUM(G10:G13)*0.3/0.005*0</f>
        <v>0</v>
      </c>
      <c r="J51" s="169">
        <f>J47</f>
        <v>2</v>
      </c>
      <c r="K51" s="169">
        <f t="shared" si="7"/>
        <v>2.1</v>
      </c>
      <c r="L51" s="169">
        <f t="shared" si="7"/>
        <v>2.21</v>
      </c>
      <c r="M51" s="168">
        <f>G51*J51</f>
        <v>0</v>
      </c>
      <c r="N51" s="168">
        <f>H51*K51</f>
        <v>0</v>
      </c>
      <c r="O51" s="168">
        <f>I51*L51</f>
        <v>0</v>
      </c>
      <c r="P51" s="168">
        <f t="shared" si="14"/>
        <v>0.08</v>
      </c>
      <c r="Q51" s="170">
        <f t="shared" si="24"/>
        <v>0</v>
      </c>
      <c r="R51" s="170">
        <f t="shared" si="23"/>
        <v>0</v>
      </c>
      <c r="S51" s="151">
        <f t="shared" si="23"/>
        <v>0</v>
      </c>
    </row>
    <row r="52" spans="1:19" ht="56.25" customHeight="1" x14ac:dyDescent="0.25">
      <c r="D52" s="75" t="s">
        <v>207</v>
      </c>
      <c r="F52" s="238"/>
      <c r="Q52" s="74" t="e">
        <f>SUM(Q31:Q51)-Q35</f>
        <v>#REF!</v>
      </c>
      <c r="R52" s="74" t="e">
        <f t="shared" ref="R52:S52" si="25">SUM(R31:R51)-R35</f>
        <v>#REF!</v>
      </c>
      <c r="S52" s="74" t="e">
        <f t="shared" si="25"/>
        <v>#REF!</v>
      </c>
    </row>
    <row r="53" spans="1:19" ht="33.75" customHeight="1" x14ac:dyDescent="0.25">
      <c r="D53" s="106" t="s">
        <v>107</v>
      </c>
      <c r="F53" s="239"/>
      <c r="Q53" s="235" t="e">
        <f>SUM(Q52:S52)</f>
        <v>#REF!</v>
      </c>
      <c r="R53" s="235"/>
      <c r="S53" s="235"/>
    </row>
    <row r="54" spans="1:19" x14ac:dyDescent="0.25">
      <c r="C54" s="107" t="s">
        <v>208</v>
      </c>
      <c r="D54" s="108"/>
      <c r="E54" s="102"/>
      <c r="F54" s="102"/>
      <c r="G54" s="102" t="e">
        <f>((G31+G39+G43+G47+G48)*120+(G32+G40+G44)*180+(G33+G37+G41+G45+G49)*220+(G34+G38+G42+G46+G50)*750)/60*39</f>
        <v>#REF!</v>
      </c>
      <c r="H54" s="102" t="s">
        <v>203</v>
      </c>
      <c r="I54" s="102"/>
      <c r="J54" s="103"/>
      <c r="K54" s="103"/>
      <c r="L54" s="103"/>
      <c r="M54" s="102"/>
      <c r="N54" s="102"/>
      <c r="O54" s="102"/>
      <c r="P54" s="104"/>
      <c r="Q54" s="105" t="e">
        <f>Q52/$Q$53*$G$54</f>
        <v>#REF!</v>
      </c>
      <c r="R54" s="105" t="e">
        <f t="shared" ref="R54:S54" si="26">R52/$Q$53*$G$54</f>
        <v>#REF!</v>
      </c>
      <c r="S54" s="105" t="e">
        <f t="shared" si="26"/>
        <v>#REF!</v>
      </c>
    </row>
    <row r="56" spans="1:19" ht="30" x14ac:dyDescent="0.25">
      <c r="C56" s="110" t="s">
        <v>189</v>
      </c>
      <c r="D56" s="96">
        <v>2020</v>
      </c>
      <c r="E56" s="96">
        <v>2021</v>
      </c>
      <c r="F56" s="96">
        <v>2022</v>
      </c>
      <c r="Q56" s="25"/>
    </row>
    <row r="57" spans="1:19" x14ac:dyDescent="0.25">
      <c r="C57" s="111" t="s">
        <v>183</v>
      </c>
      <c r="D57" s="114">
        <f>'przetwarzanie odpadów'!E68</f>
        <v>301342.5</v>
      </c>
      <c r="E57" s="114">
        <f>'przetwarzanie odpadów'!F68</f>
        <v>1446444</v>
      </c>
      <c r="F57" s="114">
        <f>'przetwarzanie odpadów'!G68</f>
        <v>867866.4</v>
      </c>
    </row>
    <row r="58" spans="1:19" x14ac:dyDescent="0.25">
      <c r="C58" s="111" t="s">
        <v>184</v>
      </c>
      <c r="D58" s="114">
        <f>'przetwarzanie odpadów'!E69</f>
        <v>38937.5</v>
      </c>
      <c r="E58" s="114">
        <f>'przetwarzanie odpadów'!F69</f>
        <v>186900</v>
      </c>
      <c r="F58" s="114">
        <f>'przetwarzanie odpadów'!G69</f>
        <v>112140</v>
      </c>
    </row>
    <row r="59" spans="1:19" x14ac:dyDescent="0.25">
      <c r="C59" s="111" t="s">
        <v>194</v>
      </c>
      <c r="D59" s="114">
        <f>L17</f>
        <v>435132</v>
      </c>
      <c r="E59" s="114">
        <f>M17</f>
        <v>1883559.0959999999</v>
      </c>
      <c r="F59" s="114">
        <f>N17</f>
        <v>1018478.8800000001</v>
      </c>
    </row>
    <row r="60" spans="1:19" x14ac:dyDescent="0.25">
      <c r="C60" s="111" t="s">
        <v>185</v>
      </c>
      <c r="D60" s="114">
        <f>L24</f>
        <v>8100</v>
      </c>
      <c r="E60" s="114">
        <f>M24</f>
        <v>8505</v>
      </c>
      <c r="F60" s="114">
        <f>E60</f>
        <v>8505</v>
      </c>
    </row>
    <row r="61" spans="1:19" x14ac:dyDescent="0.25">
      <c r="C61" s="111" t="s">
        <v>204</v>
      </c>
      <c r="D61" s="114" t="e">
        <f>Q52</f>
        <v>#REF!</v>
      </c>
      <c r="E61" s="114" t="e">
        <f>R52</f>
        <v>#REF!</v>
      </c>
      <c r="F61" s="114" t="e">
        <f t="shared" ref="F61" si="27">S52</f>
        <v>#REF!</v>
      </c>
    </row>
    <row r="62" spans="1:19" s="47" customFormat="1" x14ac:dyDescent="0.25">
      <c r="A62" s="87"/>
      <c r="C62" s="112" t="s">
        <v>186</v>
      </c>
      <c r="D62" s="115">
        <f>E62/12*3</f>
        <v>50000</v>
      </c>
      <c r="E62" s="115">
        <v>200000</v>
      </c>
      <c r="F62" s="115">
        <f>E62/12*6</f>
        <v>100000</v>
      </c>
    </row>
    <row r="63" spans="1:19" x14ac:dyDescent="0.25">
      <c r="C63" s="110" t="s">
        <v>187</v>
      </c>
      <c r="D63" s="116" t="e">
        <f>SUM(D57:D62)</f>
        <v>#REF!</v>
      </c>
      <c r="E63" s="116" t="e">
        <f>SUM(E57:E62)</f>
        <v>#REF!</v>
      </c>
      <c r="F63" s="116" t="e">
        <f>SUM(F57:F62)</f>
        <v>#REF!</v>
      </c>
    </row>
    <row r="64" spans="1:19" x14ac:dyDescent="0.25">
      <c r="C64" s="111" t="s">
        <v>188</v>
      </c>
      <c r="D64" s="114"/>
      <c r="E64" s="114">
        <v>16000</v>
      </c>
      <c r="F64" s="114"/>
    </row>
    <row r="65" spans="3:6" ht="21" x14ac:dyDescent="0.35">
      <c r="C65" s="113" t="s">
        <v>190</v>
      </c>
      <c r="D65" s="117" t="e">
        <f>D63/E64/3</f>
        <v>#REF!</v>
      </c>
      <c r="E65" s="117" t="e">
        <f>ROUND(E63/E64/12,2)</f>
        <v>#REF!</v>
      </c>
      <c r="F65" s="117" t="e">
        <f>F63/E64/6</f>
        <v>#REF!</v>
      </c>
    </row>
    <row r="66" spans="3:6" ht="45" x14ac:dyDescent="0.25">
      <c r="C66" s="66"/>
      <c r="D66" s="118"/>
      <c r="E66" s="119" t="s">
        <v>196</v>
      </c>
      <c r="F66" s="119"/>
    </row>
    <row r="67" spans="3:6" ht="30" x14ac:dyDescent="0.25">
      <c r="C67" s="120" t="s">
        <v>205</v>
      </c>
      <c r="D67" s="121" t="e">
        <f>ROUND(Q54,2)</f>
        <v>#REF!</v>
      </c>
      <c r="E67" s="121" t="e">
        <f t="shared" ref="E67:F67" si="28">ROUND(R54,2)</f>
        <v>#REF!</v>
      </c>
      <c r="F67" s="121" t="e">
        <f t="shared" si="28"/>
        <v>#REF!</v>
      </c>
    </row>
    <row r="68" spans="3:6" x14ac:dyDescent="0.25">
      <c r="C68" s="122" t="s">
        <v>187</v>
      </c>
      <c r="D68" s="123" t="e">
        <f>D63+D67</f>
        <v>#REF!</v>
      </c>
      <c r="E68" s="123" t="e">
        <f t="shared" ref="E68:F68" si="29">E63+E67</f>
        <v>#REF!</v>
      </c>
      <c r="F68" s="123" t="e">
        <f t="shared" si="29"/>
        <v>#REF!</v>
      </c>
    </row>
    <row r="69" spans="3:6" ht="21" x14ac:dyDescent="0.35">
      <c r="C69" s="124" t="s">
        <v>190</v>
      </c>
      <c r="D69" s="125" t="e">
        <f>D68/E64/3</f>
        <v>#REF!</v>
      </c>
      <c r="E69" s="125" t="e">
        <f>E68/E64/12</f>
        <v>#REF!</v>
      </c>
      <c r="F69" s="125" t="e">
        <f>F68/E64/6</f>
        <v>#REF!</v>
      </c>
    </row>
    <row r="72" spans="3:6" ht="60" x14ac:dyDescent="0.25">
      <c r="C72" s="120" t="s">
        <v>206</v>
      </c>
      <c r="D72" s="121" t="e">
        <f>D67/1.08*1.23</f>
        <v>#REF!</v>
      </c>
      <c r="E72" s="121" t="e">
        <f t="shared" ref="E72:F72" si="30">E67/1.08*1.23</f>
        <v>#REF!</v>
      </c>
      <c r="F72" s="121" t="e">
        <f t="shared" si="30"/>
        <v>#REF!</v>
      </c>
    </row>
    <row r="73" spans="3:6" x14ac:dyDescent="0.25">
      <c r="C73" s="122" t="s">
        <v>187</v>
      </c>
      <c r="D73" s="123" t="e">
        <f>D63+D72</f>
        <v>#REF!</v>
      </c>
      <c r="E73" s="123" t="e">
        <f t="shared" ref="E73:F73" si="31">E63+E72</f>
        <v>#REF!</v>
      </c>
      <c r="F73" s="123" t="e">
        <f t="shared" si="31"/>
        <v>#REF!</v>
      </c>
    </row>
    <row r="74" spans="3:6" ht="21" x14ac:dyDescent="0.35">
      <c r="C74" s="124" t="s">
        <v>190</v>
      </c>
      <c r="D74" s="125" t="e">
        <f>D73/$E$64/3</f>
        <v>#REF!</v>
      </c>
      <c r="E74" s="125" t="e">
        <f>E73/$E$64/12</f>
        <v>#REF!</v>
      </c>
      <c r="F74" s="125" t="e">
        <f>F73/$E$64/6</f>
        <v>#REF!</v>
      </c>
    </row>
  </sheetData>
  <mergeCells count="18">
    <mergeCell ref="H18:J18"/>
    <mergeCell ref="L18:N18"/>
    <mergeCell ref="L25:N25"/>
    <mergeCell ref="G35:G36"/>
    <mergeCell ref="H35:H36"/>
    <mergeCell ref="I35:I36"/>
    <mergeCell ref="J35:J36"/>
    <mergeCell ref="K35:K36"/>
    <mergeCell ref="L35:L36"/>
    <mergeCell ref="M35:M36"/>
    <mergeCell ref="F52:F53"/>
    <mergeCell ref="Q53:S53"/>
    <mergeCell ref="N35:N36"/>
    <mergeCell ref="O35:O36"/>
    <mergeCell ref="P35:P36"/>
    <mergeCell ref="Q35:Q36"/>
    <mergeCell ref="R35:R36"/>
    <mergeCell ref="S35:S36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0"/>
  <sheetViews>
    <sheetView topLeftCell="A49" workbookViewId="0">
      <selection activeCell="E55" sqref="E55"/>
    </sheetView>
  </sheetViews>
  <sheetFormatPr defaultRowHeight="15" x14ac:dyDescent="0.25"/>
  <cols>
    <col min="1" max="1" width="36.28515625" style="66" customWidth="1"/>
    <col min="2" max="2" width="26.7109375" customWidth="1"/>
    <col min="3" max="3" width="53" customWidth="1"/>
    <col min="4" max="4" width="24.140625" style="66" customWidth="1"/>
    <col min="5" max="6" width="21" customWidth="1"/>
    <col min="7" max="7" width="19.42578125" customWidth="1"/>
    <col min="10" max="10" width="15.85546875" customWidth="1"/>
    <col min="11" max="16" width="10.7109375" customWidth="1"/>
    <col min="17" max="17" width="13.42578125" bestFit="1" customWidth="1"/>
    <col min="18" max="18" width="15.140625" customWidth="1"/>
    <col min="19" max="19" width="14.28515625" customWidth="1"/>
  </cols>
  <sheetData>
    <row r="1" spans="3:15" ht="15.75" customHeight="1" x14ac:dyDescent="0.25"/>
    <row r="2" spans="3:15" x14ac:dyDescent="0.25">
      <c r="C2" s="64"/>
    </row>
    <row r="3" spans="3:15" x14ac:dyDescent="0.25">
      <c r="C3" s="65"/>
    </row>
    <row r="4" spans="3:15" x14ac:dyDescent="0.25">
      <c r="C4" s="65"/>
      <c r="F4" s="47"/>
    </row>
    <row r="5" spans="3:15" x14ac:dyDescent="0.25">
      <c r="C5" s="65"/>
    </row>
    <row r="6" spans="3:15" ht="30" x14ac:dyDescent="0.25">
      <c r="C6" s="65"/>
      <c r="D6" s="92" t="s">
        <v>149</v>
      </c>
      <c r="F6">
        <f>F13*1000/3800/4</f>
        <v>16.973684210526315</v>
      </c>
    </row>
    <row r="7" spans="3:15" x14ac:dyDescent="0.25">
      <c r="C7" s="65"/>
      <c r="H7" t="s">
        <v>200</v>
      </c>
      <c r="I7" s="97">
        <v>0.05</v>
      </c>
    </row>
    <row r="8" spans="3:15" ht="51" x14ac:dyDescent="0.25">
      <c r="C8" s="67" t="s">
        <v>44</v>
      </c>
      <c r="D8" s="67" t="s">
        <v>148</v>
      </c>
      <c r="E8" s="70" t="s">
        <v>139</v>
      </c>
      <c r="F8" s="70" t="s">
        <v>140</v>
      </c>
      <c r="G8" s="70" t="s">
        <v>141</v>
      </c>
      <c r="H8" s="70" t="s">
        <v>99</v>
      </c>
      <c r="I8" s="70" t="s">
        <v>100</v>
      </c>
      <c r="J8" s="70" t="s">
        <v>101</v>
      </c>
      <c r="K8" s="70" t="s">
        <v>102</v>
      </c>
      <c r="L8" s="70" t="s">
        <v>103</v>
      </c>
      <c r="M8" s="70" t="s">
        <v>104</v>
      </c>
      <c r="N8" s="70" t="s">
        <v>105</v>
      </c>
      <c r="O8" s="66"/>
    </row>
    <row r="9" spans="3:15" ht="25.5" x14ac:dyDescent="0.25">
      <c r="C9" s="68" t="s">
        <v>26</v>
      </c>
      <c r="D9" s="68" t="s">
        <v>89</v>
      </c>
      <c r="E9" s="79">
        <f>'wykaz cen przetwarzanie odpadów'!D9</f>
        <v>500</v>
      </c>
      <c r="F9" s="79">
        <f>'wykaz cen przetwarzanie odpadów'!E9</f>
        <v>2060</v>
      </c>
      <c r="G9" s="79">
        <f>'wykaz cen przetwarzanie odpadów'!F9</f>
        <v>1061</v>
      </c>
      <c r="H9" s="71">
        <v>250</v>
      </c>
      <c r="I9" s="71">
        <f t="shared" ref="I9:J16" si="0">ROUND(H9*$I$7+H9,0)</f>
        <v>263</v>
      </c>
      <c r="J9" s="71">
        <f t="shared" si="0"/>
        <v>276</v>
      </c>
      <c r="K9" s="72">
        <v>0.08</v>
      </c>
      <c r="L9" s="73">
        <f>ROUND(H9*E9+(H9*E9)*$K9,2)</f>
        <v>135000</v>
      </c>
      <c r="M9" s="73">
        <f>ROUND(I9*F9+(I9*F9)*$K9,2)</f>
        <v>585122.4</v>
      </c>
      <c r="N9" s="73">
        <f t="shared" ref="N9:N16" si="1">J9*G9+(J9*G9)*$K9</f>
        <v>316262.88</v>
      </c>
    </row>
    <row r="10" spans="3:15" x14ac:dyDescent="0.25">
      <c r="C10" s="68" t="s">
        <v>29</v>
      </c>
      <c r="D10" s="68" t="s">
        <v>28</v>
      </c>
      <c r="E10" s="79">
        <f>'wykaz cen przetwarzanie odpadów'!D10</f>
        <v>210</v>
      </c>
      <c r="F10" s="79">
        <f>'wykaz cen przetwarzanie odpadów'!E10</f>
        <v>865</v>
      </c>
      <c r="G10" s="79">
        <f>'wykaz cen przetwarzanie odpadów'!F10</f>
        <v>445.5</v>
      </c>
      <c r="H10" s="71">
        <v>250</v>
      </c>
      <c r="I10" s="71">
        <f t="shared" si="0"/>
        <v>263</v>
      </c>
      <c r="J10" s="71">
        <f t="shared" si="0"/>
        <v>276</v>
      </c>
      <c r="K10" s="72">
        <f>K9</f>
        <v>0.08</v>
      </c>
      <c r="L10" s="73">
        <f t="shared" ref="L10:M16" si="2">H10*E10+(H10*E10)*$K10</f>
        <v>56700</v>
      </c>
      <c r="M10" s="73">
        <f t="shared" si="2"/>
        <v>245694.6</v>
      </c>
      <c r="N10" s="73">
        <f t="shared" si="1"/>
        <v>132794.64000000001</v>
      </c>
    </row>
    <row r="11" spans="3:15" ht="63.75" x14ac:dyDescent="0.25">
      <c r="C11" s="68" t="s">
        <v>31</v>
      </c>
      <c r="D11" s="68" t="s">
        <v>90</v>
      </c>
      <c r="E11" s="79">
        <f>'wykaz cen przetwarzanie odpadów'!D11</f>
        <v>225</v>
      </c>
      <c r="F11" s="79">
        <f>'wykaz cen przetwarzanie odpadów'!E11</f>
        <v>927</v>
      </c>
      <c r="G11" s="79">
        <f>'wykaz cen przetwarzanie odpadów'!F11</f>
        <v>477.5</v>
      </c>
      <c r="H11" s="71">
        <v>800</v>
      </c>
      <c r="I11" s="71">
        <f t="shared" si="0"/>
        <v>840</v>
      </c>
      <c r="J11" s="71">
        <f t="shared" si="0"/>
        <v>882</v>
      </c>
      <c r="K11" s="72">
        <f t="shared" ref="K11:K15" si="3">K10</f>
        <v>0.08</v>
      </c>
      <c r="L11" s="73">
        <f t="shared" si="2"/>
        <v>194400</v>
      </c>
      <c r="M11" s="73">
        <f t="shared" si="2"/>
        <v>840974.4</v>
      </c>
      <c r="N11" s="73">
        <f t="shared" si="1"/>
        <v>454847.4</v>
      </c>
    </row>
    <row r="12" spans="3:15" x14ac:dyDescent="0.25">
      <c r="C12" s="68" t="s">
        <v>33</v>
      </c>
      <c r="D12" s="68" t="s">
        <v>91</v>
      </c>
      <c r="E12" s="79">
        <f>'wykaz cen przetwarzanie odpadów'!D12</f>
        <v>25</v>
      </c>
      <c r="F12" s="79">
        <f>'wykaz cen przetwarzanie odpadów'!E12</f>
        <v>103</v>
      </c>
      <c r="G12" s="79">
        <f>'wykaz cen przetwarzanie odpadów'!F12</f>
        <v>53</v>
      </c>
      <c r="H12" s="71">
        <v>600</v>
      </c>
      <c r="I12" s="71">
        <f t="shared" si="0"/>
        <v>630</v>
      </c>
      <c r="J12" s="71">
        <f t="shared" si="0"/>
        <v>662</v>
      </c>
      <c r="K12" s="72">
        <f t="shared" si="3"/>
        <v>0.08</v>
      </c>
      <c r="L12" s="73">
        <f t="shared" si="2"/>
        <v>16200</v>
      </c>
      <c r="M12" s="73">
        <f t="shared" si="2"/>
        <v>70081.2</v>
      </c>
      <c r="N12" s="73">
        <f t="shared" si="1"/>
        <v>37892.879999999997</v>
      </c>
    </row>
    <row r="13" spans="3:15" x14ac:dyDescent="0.25">
      <c r="C13" s="68" t="s">
        <v>34</v>
      </c>
      <c r="D13" s="68" t="s">
        <v>92</v>
      </c>
      <c r="E13" s="79">
        <f>'wykaz cen przetwarzanie odpadów'!D13</f>
        <v>63</v>
      </c>
      <c r="F13" s="79">
        <f>'wykaz cen przetwarzanie odpadów'!E13</f>
        <v>258</v>
      </c>
      <c r="G13" s="79">
        <f>'wykaz cen przetwarzanie odpadów'!F13</f>
        <v>133</v>
      </c>
      <c r="H13" s="71">
        <v>400</v>
      </c>
      <c r="I13" s="71">
        <f t="shared" si="0"/>
        <v>420</v>
      </c>
      <c r="J13" s="71">
        <f t="shared" si="0"/>
        <v>441</v>
      </c>
      <c r="K13" s="72">
        <f t="shared" si="3"/>
        <v>0.08</v>
      </c>
      <c r="L13" s="73">
        <f t="shared" si="2"/>
        <v>27216</v>
      </c>
      <c r="M13" s="73">
        <f t="shared" si="2"/>
        <v>117028.8</v>
      </c>
      <c r="N13" s="73">
        <f t="shared" si="1"/>
        <v>63345.24</v>
      </c>
    </row>
    <row r="14" spans="3:15" ht="25.5" x14ac:dyDescent="0.25">
      <c r="C14" s="68" t="s">
        <v>8</v>
      </c>
      <c r="D14" s="68" t="s">
        <v>93</v>
      </c>
      <c r="E14" s="79">
        <f>'wykaz cen przetwarzanie odpadów'!D14</f>
        <v>5</v>
      </c>
      <c r="F14" s="79">
        <f>'wykaz cen przetwarzanie odpadów'!E14</f>
        <v>21</v>
      </c>
      <c r="G14" s="79">
        <f>'wykaz cen przetwarzanie odpadów'!F14</f>
        <v>11</v>
      </c>
      <c r="H14" s="71">
        <v>800</v>
      </c>
      <c r="I14" s="71">
        <f t="shared" si="0"/>
        <v>840</v>
      </c>
      <c r="J14" s="71">
        <f t="shared" si="0"/>
        <v>882</v>
      </c>
      <c r="K14" s="72">
        <f t="shared" si="3"/>
        <v>0.08</v>
      </c>
      <c r="L14" s="73">
        <f t="shared" si="2"/>
        <v>4320</v>
      </c>
      <c r="M14" s="73">
        <f t="shared" si="2"/>
        <v>19051.2</v>
      </c>
      <c r="N14" s="73">
        <f t="shared" si="1"/>
        <v>10478.16</v>
      </c>
    </row>
    <row r="15" spans="3:15" ht="38.25" x14ac:dyDescent="0.25">
      <c r="C15" s="68" t="s">
        <v>39</v>
      </c>
      <c r="D15" s="68" t="s">
        <v>94</v>
      </c>
      <c r="E15" s="79">
        <f>'wykaz cen przetwarzanie odpadów'!D15</f>
        <v>0.5</v>
      </c>
      <c r="F15" s="79">
        <f>'wykaz cen przetwarzanie odpadów'!E15</f>
        <v>2.06</v>
      </c>
      <c r="G15" s="79">
        <f>'wykaz cen przetwarzanie odpadów'!F15</f>
        <v>1</v>
      </c>
      <c r="H15" s="71">
        <v>800</v>
      </c>
      <c r="I15" s="71">
        <f t="shared" si="0"/>
        <v>840</v>
      </c>
      <c r="J15" s="71">
        <f t="shared" si="0"/>
        <v>882</v>
      </c>
      <c r="K15" s="72">
        <f t="shared" si="3"/>
        <v>0.08</v>
      </c>
      <c r="L15" s="73">
        <f t="shared" si="2"/>
        <v>432</v>
      </c>
      <c r="M15" s="73">
        <f t="shared" si="2"/>
        <v>1868.8320000000001</v>
      </c>
      <c r="N15" s="73">
        <f t="shared" si="1"/>
        <v>952.56</v>
      </c>
    </row>
    <row r="16" spans="3:15" x14ac:dyDescent="0.25">
      <c r="C16" s="68" t="s">
        <v>11</v>
      </c>
      <c r="D16" s="68" t="s">
        <v>98</v>
      </c>
      <c r="E16" s="79">
        <f>'wykaz cen przetwarzanie odpadów'!D19</f>
        <v>1</v>
      </c>
      <c r="F16" s="79">
        <f>'wykaz cen przetwarzanie odpadów'!E19</f>
        <v>4.12</v>
      </c>
      <c r="G16" s="79">
        <f>'wykaz cen przetwarzanie odpadów'!F19</f>
        <v>2</v>
      </c>
      <c r="H16" s="71">
        <v>800</v>
      </c>
      <c r="I16" s="71">
        <f t="shared" si="0"/>
        <v>840</v>
      </c>
      <c r="J16" s="71">
        <f t="shared" si="0"/>
        <v>882</v>
      </c>
      <c r="K16" s="72">
        <f>K23</f>
        <v>0.08</v>
      </c>
      <c r="L16" s="73">
        <f t="shared" si="2"/>
        <v>864</v>
      </c>
      <c r="M16" s="73">
        <f t="shared" si="2"/>
        <v>3737.6640000000002</v>
      </c>
      <c r="N16" s="73">
        <f t="shared" si="1"/>
        <v>1905.12</v>
      </c>
    </row>
    <row r="17" spans="1:19" ht="25.5" x14ac:dyDescent="0.25">
      <c r="D17" s="75" t="s">
        <v>106</v>
      </c>
      <c r="H17" s="50"/>
      <c r="I17" s="50"/>
      <c r="J17" s="50"/>
      <c r="K17" s="50"/>
      <c r="L17" s="74">
        <f>SUM(L9:L16)</f>
        <v>435132</v>
      </c>
      <c r="M17" s="74">
        <f>SUM(M9:M16)</f>
        <v>1883559.0959999999</v>
      </c>
      <c r="N17" s="74">
        <f>SUM(N9:N16)</f>
        <v>1018478.8800000001</v>
      </c>
    </row>
    <row r="18" spans="1:19" ht="25.5" x14ac:dyDescent="0.25">
      <c r="D18" s="75" t="s">
        <v>107</v>
      </c>
      <c r="H18" s="234"/>
      <c r="I18" s="234"/>
      <c r="J18" s="234"/>
      <c r="K18" s="50"/>
      <c r="L18" s="235">
        <f>SUM(L17:N17)</f>
        <v>3337169.9759999998</v>
      </c>
      <c r="M18" s="235"/>
      <c r="N18" s="235"/>
    </row>
    <row r="20" spans="1:19" ht="76.5" x14ac:dyDescent="0.25">
      <c r="C20" s="67" t="s">
        <v>44</v>
      </c>
      <c r="D20" s="67" t="s">
        <v>153</v>
      </c>
      <c r="E20" s="70" t="s">
        <v>139</v>
      </c>
      <c r="F20" s="70" t="s">
        <v>140</v>
      </c>
      <c r="G20" s="70" t="s">
        <v>141</v>
      </c>
      <c r="H20" s="70" t="s">
        <v>150</v>
      </c>
      <c r="I20" s="70" t="s">
        <v>151</v>
      </c>
      <c r="J20" s="70" t="s">
        <v>152</v>
      </c>
      <c r="K20" s="70" t="s">
        <v>102</v>
      </c>
      <c r="L20" s="70" t="s">
        <v>103</v>
      </c>
      <c r="M20" s="70" t="s">
        <v>104</v>
      </c>
      <c r="N20" s="70" t="s">
        <v>105</v>
      </c>
      <c r="P20" s="99" t="s">
        <v>195</v>
      </c>
    </row>
    <row r="21" spans="1:19" ht="25.5" x14ac:dyDescent="0.25">
      <c r="C21" s="68" t="s">
        <v>40</v>
      </c>
      <c r="D21" s="68" t="s">
        <v>95</v>
      </c>
      <c r="E21" s="79">
        <f>'wykaz cen przetwarzanie odpadów'!D16</f>
        <v>0.01</v>
      </c>
      <c r="F21" s="79">
        <f>'wykaz cen przetwarzanie odpadów'!E16</f>
        <v>0.05</v>
      </c>
      <c r="G21" s="79">
        <f>'wykaz cen przetwarzanie odpadów'!F16</f>
        <v>0</v>
      </c>
      <c r="H21" s="71">
        <v>2500</v>
      </c>
      <c r="I21" s="71">
        <f t="shared" ref="I21:J23" si="4">ROUND(H21*$I$7+H21,0)</f>
        <v>2625</v>
      </c>
      <c r="J21" s="71">
        <f t="shared" si="4"/>
        <v>2756</v>
      </c>
      <c r="K21" s="72">
        <v>0.08</v>
      </c>
      <c r="L21" s="73">
        <f t="shared" ref="L21:M23" si="5">H21*$K21+H21</f>
        <v>2700</v>
      </c>
      <c r="M21" s="73">
        <f t="shared" si="5"/>
        <v>2835</v>
      </c>
      <c r="N21" s="73">
        <v>0</v>
      </c>
    </row>
    <row r="22" spans="1:19" x14ac:dyDescent="0.25">
      <c r="C22" s="68" t="s">
        <v>42</v>
      </c>
      <c r="D22" s="68" t="s">
        <v>96</v>
      </c>
      <c r="E22" s="79">
        <f>'wykaz cen przetwarzanie odpadów'!D17</f>
        <v>0</v>
      </c>
      <c r="F22" s="79">
        <f>'wykaz cen przetwarzanie odpadów'!E17</f>
        <v>0.01</v>
      </c>
      <c r="G22" s="79">
        <f>'wykaz cen przetwarzanie odpadów'!F17</f>
        <v>0</v>
      </c>
      <c r="H22" s="71">
        <v>2500</v>
      </c>
      <c r="I22" s="71">
        <f t="shared" si="4"/>
        <v>2625</v>
      </c>
      <c r="J22" s="71">
        <f t="shared" si="4"/>
        <v>2756</v>
      </c>
      <c r="K22" s="72">
        <f>K21</f>
        <v>0.08</v>
      </c>
      <c r="L22" s="73">
        <f t="shared" si="5"/>
        <v>2700</v>
      </c>
      <c r="M22" s="73">
        <f t="shared" si="5"/>
        <v>2835</v>
      </c>
      <c r="N22" s="73">
        <v>0</v>
      </c>
    </row>
    <row r="23" spans="1:19" ht="25.5" x14ac:dyDescent="0.25">
      <c r="C23" s="68" t="s">
        <v>41</v>
      </c>
      <c r="D23" s="68" t="s">
        <v>97</v>
      </c>
      <c r="E23" s="79">
        <f>'wykaz cen przetwarzanie odpadów'!D18</f>
        <v>0</v>
      </c>
      <c r="F23" s="79">
        <f>'wykaz cen przetwarzanie odpadów'!E18</f>
        <v>0.01</v>
      </c>
      <c r="G23" s="79">
        <f>'wykaz cen przetwarzanie odpadów'!F18</f>
        <v>0</v>
      </c>
      <c r="H23" s="71">
        <v>2500</v>
      </c>
      <c r="I23" s="71">
        <f t="shared" si="4"/>
        <v>2625</v>
      </c>
      <c r="J23" s="71">
        <f t="shared" si="4"/>
        <v>2756</v>
      </c>
      <c r="K23" s="72">
        <f>K22</f>
        <v>0.08</v>
      </c>
      <c r="L23" s="73">
        <f t="shared" si="5"/>
        <v>2700</v>
      </c>
      <c r="M23" s="73">
        <f t="shared" si="5"/>
        <v>2835</v>
      </c>
      <c r="N23" s="73">
        <v>0</v>
      </c>
    </row>
    <row r="24" spans="1:19" ht="25.5" x14ac:dyDescent="0.25">
      <c r="D24" s="75" t="s">
        <v>106</v>
      </c>
      <c r="L24" s="74">
        <f>SUM(L21:L23)</f>
        <v>8100</v>
      </c>
      <c r="M24" s="74">
        <f t="shared" ref="M24:N24" si="6">SUM(M21:M23)</f>
        <v>8505</v>
      </c>
      <c r="N24" s="74">
        <f t="shared" si="6"/>
        <v>0</v>
      </c>
    </row>
    <row r="25" spans="1:19" ht="25.5" x14ac:dyDescent="0.25">
      <c r="D25" s="75" t="s">
        <v>107</v>
      </c>
      <c r="L25" s="235">
        <f>SUM(L24:N24)</f>
        <v>16605</v>
      </c>
      <c r="M25" s="235"/>
      <c r="N25" s="235"/>
    </row>
    <row r="27" spans="1:19" x14ac:dyDescent="0.25">
      <c r="G27" s="203" t="s">
        <v>424</v>
      </c>
      <c r="H27" s="204"/>
      <c r="I27" s="204"/>
      <c r="J27" s="204"/>
    </row>
    <row r="28" spans="1:19" x14ac:dyDescent="0.25">
      <c r="C28" s="86"/>
    </row>
    <row r="29" spans="1:19" x14ac:dyDescent="0.25">
      <c r="H29" t="s">
        <v>201</v>
      </c>
      <c r="I29" s="97">
        <f>I7</f>
        <v>0.05</v>
      </c>
    </row>
    <row r="30" spans="1:19" ht="141" thickBot="1" x14ac:dyDescent="0.3">
      <c r="A30" s="87" t="s">
        <v>164</v>
      </c>
      <c r="C30" s="88" t="s">
        <v>154</v>
      </c>
      <c r="D30" s="88"/>
      <c r="E30" s="88" t="s">
        <v>158</v>
      </c>
      <c r="F30" s="100" t="s">
        <v>197</v>
      </c>
      <c r="G30" s="89" t="s">
        <v>155</v>
      </c>
      <c r="H30" s="89" t="s">
        <v>156</v>
      </c>
      <c r="I30" s="89" t="s">
        <v>157</v>
      </c>
      <c r="J30" s="89" t="s">
        <v>180</v>
      </c>
      <c r="K30" s="89" t="s">
        <v>181</v>
      </c>
      <c r="L30" s="89" t="s">
        <v>182</v>
      </c>
      <c r="M30" s="89" t="s">
        <v>177</v>
      </c>
      <c r="N30" s="89" t="s">
        <v>178</v>
      </c>
      <c r="O30" s="89" t="s">
        <v>179</v>
      </c>
      <c r="P30" s="89" t="s">
        <v>102</v>
      </c>
      <c r="Q30" s="89" t="s">
        <v>103</v>
      </c>
      <c r="R30" s="89" t="s">
        <v>104</v>
      </c>
      <c r="S30" s="89" t="s">
        <v>105</v>
      </c>
    </row>
    <row r="31" spans="1:19" ht="15.75" customHeight="1" thickBot="1" x14ac:dyDescent="0.3">
      <c r="A31" s="87" t="s">
        <v>165</v>
      </c>
      <c r="C31" s="90" t="s">
        <v>159</v>
      </c>
      <c r="D31" s="152" t="s">
        <v>170</v>
      </c>
      <c r="E31" s="4" t="s">
        <v>160</v>
      </c>
      <c r="F31" s="135">
        <v>645</v>
      </c>
      <c r="G31" s="4">
        <f>'odbieranie - bez mycia'!G31</f>
        <v>650</v>
      </c>
      <c r="H31" s="4">
        <f>G31</f>
        <v>650</v>
      </c>
      <c r="I31" s="4">
        <f>H31</f>
        <v>650</v>
      </c>
      <c r="J31" s="136">
        <f>120/60+5/12</f>
        <v>2.4166666666666665</v>
      </c>
      <c r="K31" s="137">
        <f t="shared" ref="K31:L51" si="7">ROUND(J31*$I$29+J31,2)</f>
        <v>2.54</v>
      </c>
      <c r="L31" s="137">
        <f t="shared" si="7"/>
        <v>2.67</v>
      </c>
      <c r="M31" s="138">
        <f>G31*J31*3</f>
        <v>4712.5</v>
      </c>
      <c r="N31" s="138">
        <f>H31*K31*12</f>
        <v>19812</v>
      </c>
      <c r="O31" s="138">
        <f>I31*L31*6</f>
        <v>10413</v>
      </c>
      <c r="P31" s="134">
        <v>0.08</v>
      </c>
      <c r="Q31" s="131">
        <f>ROUND(M31*$P$31+M31,2)</f>
        <v>5089.5</v>
      </c>
      <c r="R31" s="131">
        <f t="shared" ref="R31:S31" si="8">ROUND(N31*$P$31+N31,2)</f>
        <v>21396.959999999999</v>
      </c>
      <c r="S31" s="139">
        <f t="shared" si="8"/>
        <v>11246.04</v>
      </c>
    </row>
    <row r="32" spans="1:19" ht="16.5" customHeight="1" thickBot="1" x14ac:dyDescent="0.3">
      <c r="A32" s="66">
        <f>150+3829</f>
        <v>3979</v>
      </c>
      <c r="C32" s="91"/>
      <c r="D32" s="147" t="s">
        <v>199</v>
      </c>
      <c r="E32" s="1" t="s">
        <v>161</v>
      </c>
      <c r="F32" s="101">
        <v>3282</v>
      </c>
      <c r="G32" s="4">
        <f>'odbieranie - bez mycia'!G32</f>
        <v>3200</v>
      </c>
      <c r="H32" s="1">
        <f>G32</f>
        <v>3200</v>
      </c>
      <c r="I32" s="1">
        <f>H32</f>
        <v>3200</v>
      </c>
      <c r="J32" s="94">
        <f>180/60+5/12</f>
        <v>3.4166666666666665</v>
      </c>
      <c r="K32" s="132">
        <f t="shared" si="7"/>
        <v>3.59</v>
      </c>
      <c r="L32" s="132">
        <f t="shared" si="7"/>
        <v>3.77</v>
      </c>
      <c r="M32" s="133">
        <f t="shared" ref="M32:M46" si="9">G32*J32*3</f>
        <v>32800</v>
      </c>
      <c r="N32" s="133">
        <f t="shared" ref="N32:N46" si="10">H32*K32*12</f>
        <v>137856</v>
      </c>
      <c r="O32" s="133">
        <f t="shared" ref="O32:O46" si="11">I32*L32*6</f>
        <v>72384</v>
      </c>
      <c r="P32" s="148">
        <f>P31</f>
        <v>0.08</v>
      </c>
      <c r="Q32" s="149">
        <f t="shared" ref="Q32:Q47" si="12">ROUND(M32*$P$31+M32,2)</f>
        <v>35424</v>
      </c>
      <c r="R32" s="149">
        <f t="shared" ref="R32:R49" si="13">ROUND(N32*$P$31+N32,2)</f>
        <v>148884.48000000001</v>
      </c>
      <c r="S32" s="153">
        <f t="shared" ref="S32:S49" si="14">ROUND(O32*$P$31+O32,2)</f>
        <v>78174.720000000001</v>
      </c>
    </row>
    <row r="33" spans="1:19" ht="15.75" thickBot="1" x14ac:dyDescent="0.3">
      <c r="C33" s="91"/>
      <c r="D33" s="147" t="s">
        <v>172</v>
      </c>
      <c r="E33" s="1" t="s">
        <v>161</v>
      </c>
      <c r="F33" s="101">
        <v>26</v>
      </c>
      <c r="G33" s="4">
        <f>'odbieranie - bez mycia'!G33</f>
        <v>100</v>
      </c>
      <c r="H33" s="1">
        <f t="shared" ref="H33:I33" si="15">G33</f>
        <v>100</v>
      </c>
      <c r="I33" s="1">
        <f t="shared" si="15"/>
        <v>100</v>
      </c>
      <c r="J33" s="94">
        <f>ROUND(220/60,1)+5/12</f>
        <v>4.1166666666666671</v>
      </c>
      <c r="K33" s="132">
        <f t="shared" si="7"/>
        <v>4.32</v>
      </c>
      <c r="L33" s="132">
        <f t="shared" si="7"/>
        <v>4.54</v>
      </c>
      <c r="M33" s="133">
        <f t="shared" si="9"/>
        <v>1235.0000000000002</v>
      </c>
      <c r="N33" s="133">
        <f t="shared" si="10"/>
        <v>5184</v>
      </c>
      <c r="O33" s="133">
        <f t="shared" si="11"/>
        <v>2724</v>
      </c>
      <c r="P33" s="148">
        <f t="shared" ref="P33:P50" si="16">P32</f>
        <v>0.08</v>
      </c>
      <c r="Q33" s="149">
        <f t="shared" si="12"/>
        <v>1333.8</v>
      </c>
      <c r="R33" s="149">
        <f t="shared" si="13"/>
        <v>5598.72</v>
      </c>
      <c r="S33" s="153">
        <f t="shared" si="14"/>
        <v>2941.92</v>
      </c>
    </row>
    <row r="34" spans="1:19" ht="16.5" customHeight="1" thickBot="1" x14ac:dyDescent="0.3">
      <c r="C34" s="140"/>
      <c r="D34" s="154" t="s">
        <v>173</v>
      </c>
      <c r="E34" s="7" t="s">
        <v>162</v>
      </c>
      <c r="F34" s="141">
        <f>85+12</f>
        <v>97</v>
      </c>
      <c r="G34" s="4" t="e">
        <f>'odbieranie - bez mycia'!G34</f>
        <v>#REF!</v>
      </c>
      <c r="H34" s="7" t="e">
        <f t="shared" ref="H34:I34" si="17">G34</f>
        <v>#REF!</v>
      </c>
      <c r="I34" s="7" t="e">
        <f t="shared" si="17"/>
        <v>#REF!</v>
      </c>
      <c r="J34" s="142">
        <f>750/60+15/12</f>
        <v>13.75</v>
      </c>
      <c r="K34" s="143">
        <f t="shared" si="7"/>
        <v>14.44</v>
      </c>
      <c r="L34" s="143">
        <f t="shared" si="7"/>
        <v>15.16</v>
      </c>
      <c r="M34" s="144" t="e">
        <f t="shared" si="9"/>
        <v>#REF!</v>
      </c>
      <c r="N34" s="144" t="e">
        <f t="shared" si="10"/>
        <v>#REF!</v>
      </c>
      <c r="O34" s="144" t="e">
        <f t="shared" si="11"/>
        <v>#REF!</v>
      </c>
      <c r="P34" s="155">
        <f t="shared" si="16"/>
        <v>0.08</v>
      </c>
      <c r="Q34" s="156" t="e">
        <f t="shared" si="12"/>
        <v>#REF!</v>
      </c>
      <c r="R34" s="156" t="e">
        <f t="shared" si="13"/>
        <v>#REF!</v>
      </c>
      <c r="S34" s="157" t="e">
        <f t="shared" si="14"/>
        <v>#REF!</v>
      </c>
    </row>
    <row r="35" spans="1:19" x14ac:dyDescent="0.25">
      <c r="C35" s="3" t="s">
        <v>163</v>
      </c>
      <c r="D35" s="152" t="s">
        <v>170</v>
      </c>
      <c r="E35" s="126" t="s">
        <v>169</v>
      </c>
      <c r="F35" s="135"/>
      <c r="G35" s="246">
        <f>ROUND(E12/0.003,-2)*0.75</f>
        <v>6225</v>
      </c>
      <c r="H35" s="246">
        <f t="shared" ref="H35:I35" si="18">ROUND(F12/0.003,-2)*0.75</f>
        <v>25725</v>
      </c>
      <c r="I35" s="246">
        <f t="shared" si="18"/>
        <v>13275</v>
      </c>
      <c r="J35" s="248">
        <v>0.4</v>
      </c>
      <c r="K35" s="250">
        <f t="shared" ref="K35" si="19">ROUND(J35*$I$29+J35,2)</f>
        <v>0.42</v>
      </c>
      <c r="L35" s="250">
        <f t="shared" ref="L35" si="20">ROUND(K35*$I$29+K35,2)</f>
        <v>0.44</v>
      </c>
      <c r="M35" s="240">
        <f t="shared" si="9"/>
        <v>7470</v>
      </c>
      <c r="N35" s="240">
        <f t="shared" si="10"/>
        <v>129654</v>
      </c>
      <c r="O35" s="240">
        <f t="shared" si="11"/>
        <v>35046</v>
      </c>
      <c r="P35" s="240">
        <f t="shared" si="16"/>
        <v>0.08</v>
      </c>
      <c r="Q35" s="242">
        <f t="shared" si="12"/>
        <v>8067.6</v>
      </c>
      <c r="R35" s="242">
        <f t="shared" si="13"/>
        <v>140026.32</v>
      </c>
      <c r="S35" s="244">
        <f t="shared" si="14"/>
        <v>37849.68</v>
      </c>
    </row>
    <row r="36" spans="1:19" x14ac:dyDescent="0.25">
      <c r="C36" s="5"/>
      <c r="D36" s="147" t="s">
        <v>171</v>
      </c>
      <c r="E36" s="23" t="s">
        <v>169</v>
      </c>
      <c r="F36" s="101"/>
      <c r="G36" s="247"/>
      <c r="H36" s="247"/>
      <c r="I36" s="247"/>
      <c r="J36" s="249">
        <v>0</v>
      </c>
      <c r="K36" s="251">
        <f t="shared" si="7"/>
        <v>0</v>
      </c>
      <c r="L36" s="251">
        <f t="shared" si="7"/>
        <v>0</v>
      </c>
      <c r="M36" s="241">
        <f t="shared" si="9"/>
        <v>0</v>
      </c>
      <c r="N36" s="241">
        <f t="shared" si="10"/>
        <v>0</v>
      </c>
      <c r="O36" s="241">
        <f t="shared" si="11"/>
        <v>0</v>
      </c>
      <c r="P36" s="241">
        <f t="shared" si="16"/>
        <v>0.08</v>
      </c>
      <c r="Q36" s="243">
        <f t="shared" si="12"/>
        <v>0</v>
      </c>
      <c r="R36" s="243">
        <f t="shared" si="13"/>
        <v>0</v>
      </c>
      <c r="S36" s="245">
        <f t="shared" si="14"/>
        <v>0</v>
      </c>
    </row>
    <row r="37" spans="1:19" x14ac:dyDescent="0.25">
      <c r="C37" s="5"/>
      <c r="D37" s="147" t="s">
        <v>172</v>
      </c>
      <c r="E37" s="1" t="s">
        <v>161</v>
      </c>
      <c r="F37" s="101"/>
      <c r="G37" s="1">
        <f t="shared" ref="G37:G38" si="21">G33</f>
        <v>100</v>
      </c>
      <c r="H37" s="1">
        <f t="shared" ref="H37:I37" si="22">G37</f>
        <v>100</v>
      </c>
      <c r="I37" s="1">
        <f t="shared" si="22"/>
        <v>100</v>
      </c>
      <c r="J37" s="95">
        <f t="shared" ref="J37:J46" si="23">J33</f>
        <v>4.1166666666666671</v>
      </c>
      <c r="K37" s="95">
        <f t="shared" si="7"/>
        <v>4.32</v>
      </c>
      <c r="L37" s="95">
        <f t="shared" si="7"/>
        <v>4.54</v>
      </c>
      <c r="M37" s="1">
        <f t="shared" si="9"/>
        <v>1235.0000000000002</v>
      </c>
      <c r="N37" s="1">
        <f t="shared" si="10"/>
        <v>5184</v>
      </c>
      <c r="O37" s="1">
        <f t="shared" si="11"/>
        <v>2724</v>
      </c>
      <c r="P37" s="39">
        <f t="shared" si="16"/>
        <v>0.08</v>
      </c>
      <c r="Q37" s="150">
        <f t="shared" si="12"/>
        <v>1333.8</v>
      </c>
      <c r="R37" s="150">
        <f t="shared" si="13"/>
        <v>5598.72</v>
      </c>
      <c r="S37" s="158">
        <f t="shared" si="14"/>
        <v>2941.92</v>
      </c>
    </row>
    <row r="38" spans="1:19" ht="15.75" thickBot="1" x14ac:dyDescent="0.3">
      <c r="C38" s="6"/>
      <c r="D38" s="154" t="s">
        <v>173</v>
      </c>
      <c r="E38" s="7" t="s">
        <v>162</v>
      </c>
      <c r="F38" s="141"/>
      <c r="G38" s="7" t="e">
        <f t="shared" si="21"/>
        <v>#REF!</v>
      </c>
      <c r="H38" s="7" t="e">
        <f t="shared" ref="H38:I38" si="24">G38</f>
        <v>#REF!</v>
      </c>
      <c r="I38" s="7" t="e">
        <f t="shared" si="24"/>
        <v>#REF!</v>
      </c>
      <c r="J38" s="146">
        <f t="shared" si="23"/>
        <v>13.75</v>
      </c>
      <c r="K38" s="146">
        <f t="shared" si="7"/>
        <v>14.44</v>
      </c>
      <c r="L38" s="146">
        <f t="shared" si="7"/>
        <v>15.16</v>
      </c>
      <c r="M38" s="7" t="e">
        <f t="shared" si="9"/>
        <v>#REF!</v>
      </c>
      <c r="N38" s="7" t="e">
        <f t="shared" si="10"/>
        <v>#REF!</v>
      </c>
      <c r="O38" s="7" t="e">
        <f t="shared" si="11"/>
        <v>#REF!</v>
      </c>
      <c r="P38" s="159">
        <f t="shared" si="16"/>
        <v>0.08</v>
      </c>
      <c r="Q38" s="160" t="e">
        <f t="shared" si="12"/>
        <v>#REF!</v>
      </c>
      <c r="R38" s="160" t="e">
        <f t="shared" si="13"/>
        <v>#REF!</v>
      </c>
      <c r="S38" s="161" t="e">
        <f t="shared" si="14"/>
        <v>#REF!</v>
      </c>
    </row>
    <row r="39" spans="1:19" x14ac:dyDescent="0.25">
      <c r="C39" s="3" t="s">
        <v>166</v>
      </c>
      <c r="D39" s="152" t="s">
        <v>170</v>
      </c>
      <c r="E39" s="4" t="s">
        <v>160</v>
      </c>
      <c r="F39" s="135">
        <v>355</v>
      </c>
      <c r="G39" s="4">
        <v>650</v>
      </c>
      <c r="H39" s="4">
        <f>G39</f>
        <v>650</v>
      </c>
      <c r="I39" s="4">
        <f>H39</f>
        <v>650</v>
      </c>
      <c r="J39" s="162">
        <f>J31</f>
        <v>2.4166666666666665</v>
      </c>
      <c r="K39" s="162">
        <f t="shared" si="7"/>
        <v>2.54</v>
      </c>
      <c r="L39" s="162">
        <f t="shared" si="7"/>
        <v>2.67</v>
      </c>
      <c r="M39" s="4">
        <f t="shared" si="9"/>
        <v>4712.5</v>
      </c>
      <c r="N39" s="4">
        <f t="shared" si="10"/>
        <v>19812</v>
      </c>
      <c r="O39" s="4">
        <f t="shared" si="11"/>
        <v>10413</v>
      </c>
      <c r="P39" s="93">
        <f t="shared" si="16"/>
        <v>0.08</v>
      </c>
      <c r="Q39" s="98">
        <f t="shared" si="12"/>
        <v>5089.5</v>
      </c>
      <c r="R39" s="98">
        <f t="shared" si="13"/>
        <v>21396.959999999999</v>
      </c>
      <c r="S39" s="145">
        <f t="shared" si="14"/>
        <v>11246.04</v>
      </c>
    </row>
    <row r="40" spans="1:19" x14ac:dyDescent="0.25">
      <c r="C40" s="5"/>
      <c r="D40" s="147" t="s">
        <v>171</v>
      </c>
      <c r="E40" s="1" t="s">
        <v>161</v>
      </c>
      <c r="F40" s="101">
        <v>3339</v>
      </c>
      <c r="G40" s="1">
        <f>G32</f>
        <v>3200</v>
      </c>
      <c r="H40" s="1">
        <f>G40</f>
        <v>3200</v>
      </c>
      <c r="I40" s="1">
        <f>H40</f>
        <v>3200</v>
      </c>
      <c r="J40" s="95">
        <f>J32</f>
        <v>3.4166666666666665</v>
      </c>
      <c r="K40" s="95">
        <f t="shared" si="7"/>
        <v>3.59</v>
      </c>
      <c r="L40" s="95">
        <f t="shared" si="7"/>
        <v>3.77</v>
      </c>
      <c r="M40" s="1">
        <f t="shared" si="9"/>
        <v>32800</v>
      </c>
      <c r="N40" s="1">
        <f t="shared" si="10"/>
        <v>137856</v>
      </c>
      <c r="O40" s="1">
        <f t="shared" si="11"/>
        <v>72384</v>
      </c>
      <c r="P40" s="39">
        <f t="shared" si="16"/>
        <v>0.08</v>
      </c>
      <c r="Q40" s="150">
        <f t="shared" si="12"/>
        <v>35424</v>
      </c>
      <c r="R40" s="150">
        <f t="shared" si="13"/>
        <v>148884.48000000001</v>
      </c>
      <c r="S40" s="158">
        <f t="shared" si="14"/>
        <v>78174.720000000001</v>
      </c>
    </row>
    <row r="41" spans="1:19" x14ac:dyDescent="0.25">
      <c r="C41" s="5"/>
      <c r="D41" s="147" t="s">
        <v>172</v>
      </c>
      <c r="E41" s="1" t="s">
        <v>161</v>
      </c>
      <c r="F41" s="101">
        <v>29</v>
      </c>
      <c r="G41" s="1">
        <f t="shared" ref="G41:G46" si="25">G37</f>
        <v>100</v>
      </c>
      <c r="H41" s="1">
        <f t="shared" ref="H41:I41" si="26">G41</f>
        <v>100</v>
      </c>
      <c r="I41" s="1">
        <f t="shared" si="26"/>
        <v>100</v>
      </c>
      <c r="J41" s="95">
        <f t="shared" si="23"/>
        <v>4.1166666666666671</v>
      </c>
      <c r="K41" s="95">
        <f t="shared" si="7"/>
        <v>4.32</v>
      </c>
      <c r="L41" s="95">
        <f t="shared" si="7"/>
        <v>4.54</v>
      </c>
      <c r="M41" s="1">
        <f t="shared" si="9"/>
        <v>1235.0000000000002</v>
      </c>
      <c r="N41" s="1">
        <f t="shared" si="10"/>
        <v>5184</v>
      </c>
      <c r="O41" s="1">
        <f t="shared" si="11"/>
        <v>2724</v>
      </c>
      <c r="P41" s="39">
        <f t="shared" si="16"/>
        <v>0.08</v>
      </c>
      <c r="Q41" s="150">
        <f t="shared" si="12"/>
        <v>1333.8</v>
      </c>
      <c r="R41" s="150">
        <f t="shared" si="13"/>
        <v>5598.72</v>
      </c>
      <c r="S41" s="158">
        <f t="shared" si="14"/>
        <v>2941.92</v>
      </c>
    </row>
    <row r="42" spans="1:19" ht="15.75" thickBot="1" x14ac:dyDescent="0.3">
      <c r="C42" s="6"/>
      <c r="D42" s="154" t="s">
        <v>173</v>
      </c>
      <c r="E42" s="7" t="s">
        <v>162</v>
      </c>
      <c r="F42" s="141">
        <f>28+2</f>
        <v>30</v>
      </c>
      <c r="G42" s="7" t="e">
        <f t="shared" si="25"/>
        <v>#REF!</v>
      </c>
      <c r="H42" s="7" t="e">
        <f t="shared" ref="H42:I42" si="27">G42</f>
        <v>#REF!</v>
      </c>
      <c r="I42" s="7" t="e">
        <f t="shared" si="27"/>
        <v>#REF!</v>
      </c>
      <c r="J42" s="146">
        <f t="shared" si="23"/>
        <v>13.75</v>
      </c>
      <c r="K42" s="146">
        <f t="shared" si="7"/>
        <v>14.44</v>
      </c>
      <c r="L42" s="146">
        <f t="shared" si="7"/>
        <v>15.16</v>
      </c>
      <c r="M42" s="7" t="e">
        <f t="shared" si="9"/>
        <v>#REF!</v>
      </c>
      <c r="N42" s="7" t="e">
        <f t="shared" si="10"/>
        <v>#REF!</v>
      </c>
      <c r="O42" s="7" t="e">
        <f t="shared" si="11"/>
        <v>#REF!</v>
      </c>
      <c r="P42" s="159">
        <f t="shared" si="16"/>
        <v>0.08</v>
      </c>
      <c r="Q42" s="160" t="e">
        <f t="shared" si="12"/>
        <v>#REF!</v>
      </c>
      <c r="R42" s="160" t="e">
        <f t="shared" si="13"/>
        <v>#REF!</v>
      </c>
      <c r="S42" s="161" t="e">
        <f t="shared" si="14"/>
        <v>#REF!</v>
      </c>
    </row>
    <row r="43" spans="1:19" ht="33.75" customHeight="1" x14ac:dyDescent="0.25">
      <c r="A43" s="87" t="s">
        <v>175</v>
      </c>
      <c r="C43" s="3" t="s">
        <v>167</v>
      </c>
      <c r="D43" s="152" t="s">
        <v>170</v>
      </c>
      <c r="E43" s="4" t="s">
        <v>160</v>
      </c>
      <c r="F43" s="135">
        <v>2135</v>
      </c>
      <c r="G43" s="4">
        <f>ROUND(G39*75%,0)</f>
        <v>488</v>
      </c>
      <c r="H43" s="4">
        <f>G43</f>
        <v>488</v>
      </c>
      <c r="I43" s="4">
        <f>H43</f>
        <v>488</v>
      </c>
      <c r="J43" s="162">
        <f t="shared" si="23"/>
        <v>2.4166666666666665</v>
      </c>
      <c r="K43" s="162">
        <f t="shared" si="7"/>
        <v>2.54</v>
      </c>
      <c r="L43" s="162">
        <f t="shared" si="7"/>
        <v>2.67</v>
      </c>
      <c r="M43" s="4">
        <f t="shared" si="9"/>
        <v>3538</v>
      </c>
      <c r="N43" s="4">
        <f t="shared" si="10"/>
        <v>14874.24</v>
      </c>
      <c r="O43" s="4">
        <f t="shared" si="11"/>
        <v>7817.76</v>
      </c>
      <c r="P43" s="93">
        <f t="shared" si="16"/>
        <v>0.08</v>
      </c>
      <c r="Q43" s="98">
        <f t="shared" si="12"/>
        <v>3821.04</v>
      </c>
      <c r="R43" s="98">
        <f t="shared" si="13"/>
        <v>16064.18</v>
      </c>
      <c r="S43" s="145">
        <f t="shared" si="14"/>
        <v>8443.18</v>
      </c>
    </row>
    <row r="44" spans="1:19" ht="30" x14ac:dyDescent="0.25">
      <c r="A44" s="87" t="s">
        <v>175</v>
      </c>
      <c r="C44" s="5"/>
      <c r="D44" s="147" t="s">
        <v>171</v>
      </c>
      <c r="E44" s="1" t="s">
        <v>161</v>
      </c>
      <c r="F44" s="101">
        <v>91</v>
      </c>
      <c r="G44" s="1">
        <f>G40*75%</f>
        <v>2400</v>
      </c>
      <c r="H44" s="1">
        <f>G44</f>
        <v>2400</v>
      </c>
      <c r="I44" s="1">
        <f>H44</f>
        <v>2400</v>
      </c>
      <c r="J44" s="95">
        <f t="shared" si="23"/>
        <v>3.4166666666666665</v>
      </c>
      <c r="K44" s="95">
        <f t="shared" si="7"/>
        <v>3.59</v>
      </c>
      <c r="L44" s="95">
        <f t="shared" si="7"/>
        <v>3.77</v>
      </c>
      <c r="M44" s="1">
        <f t="shared" si="9"/>
        <v>24600</v>
      </c>
      <c r="N44" s="1">
        <f t="shared" si="10"/>
        <v>103392</v>
      </c>
      <c r="O44" s="1">
        <f t="shared" si="11"/>
        <v>54288</v>
      </c>
      <c r="P44" s="39">
        <f t="shared" si="16"/>
        <v>0.08</v>
      </c>
      <c r="Q44" s="150">
        <f t="shared" si="12"/>
        <v>26568</v>
      </c>
      <c r="R44" s="150">
        <f t="shared" si="13"/>
        <v>111663.36</v>
      </c>
      <c r="S44" s="158">
        <f t="shared" si="14"/>
        <v>58631.040000000001</v>
      </c>
    </row>
    <row r="45" spans="1:19" x14ac:dyDescent="0.25">
      <c r="C45" s="5"/>
      <c r="D45" s="147" t="s">
        <v>172</v>
      </c>
      <c r="E45" s="1" t="s">
        <v>161</v>
      </c>
      <c r="F45" s="101">
        <v>7</v>
      </c>
      <c r="G45" s="1">
        <f t="shared" si="25"/>
        <v>100</v>
      </c>
      <c r="H45" s="1">
        <f t="shared" ref="H45:I45" si="28">G45</f>
        <v>100</v>
      </c>
      <c r="I45" s="1">
        <f t="shared" si="28"/>
        <v>100</v>
      </c>
      <c r="J45" s="95">
        <f t="shared" si="23"/>
        <v>4.1166666666666671</v>
      </c>
      <c r="K45" s="95">
        <f t="shared" si="7"/>
        <v>4.32</v>
      </c>
      <c r="L45" s="95">
        <f t="shared" si="7"/>
        <v>4.54</v>
      </c>
      <c r="M45" s="1">
        <f t="shared" si="9"/>
        <v>1235.0000000000002</v>
      </c>
      <c r="N45" s="1">
        <f t="shared" si="10"/>
        <v>5184</v>
      </c>
      <c r="O45" s="1">
        <f t="shared" si="11"/>
        <v>2724</v>
      </c>
      <c r="P45" s="39">
        <f t="shared" si="16"/>
        <v>0.08</v>
      </c>
      <c r="Q45" s="150">
        <f t="shared" si="12"/>
        <v>1333.8</v>
      </c>
      <c r="R45" s="150">
        <f t="shared" si="13"/>
        <v>5598.72</v>
      </c>
      <c r="S45" s="158">
        <f t="shared" si="14"/>
        <v>2941.92</v>
      </c>
    </row>
    <row r="46" spans="1:19" ht="15.75" thickBot="1" x14ac:dyDescent="0.3">
      <c r="C46" s="6"/>
      <c r="D46" s="154" t="s">
        <v>173</v>
      </c>
      <c r="E46" s="7" t="s">
        <v>162</v>
      </c>
      <c r="F46" s="141">
        <f>16</f>
        <v>16</v>
      </c>
      <c r="G46" s="7" t="e">
        <f t="shared" si="25"/>
        <v>#REF!</v>
      </c>
      <c r="H46" s="7" t="e">
        <f t="shared" ref="H46:I46" si="29">G46</f>
        <v>#REF!</v>
      </c>
      <c r="I46" s="7" t="e">
        <f t="shared" si="29"/>
        <v>#REF!</v>
      </c>
      <c r="J46" s="146">
        <f t="shared" si="23"/>
        <v>13.75</v>
      </c>
      <c r="K46" s="146">
        <f t="shared" si="7"/>
        <v>14.44</v>
      </c>
      <c r="L46" s="146">
        <f t="shared" si="7"/>
        <v>15.16</v>
      </c>
      <c r="M46" s="7" t="e">
        <f t="shared" si="9"/>
        <v>#REF!</v>
      </c>
      <c r="N46" s="7" t="e">
        <f t="shared" si="10"/>
        <v>#REF!</v>
      </c>
      <c r="O46" s="7" t="e">
        <f t="shared" si="11"/>
        <v>#REF!</v>
      </c>
      <c r="P46" s="159">
        <f t="shared" si="16"/>
        <v>0.08</v>
      </c>
      <c r="Q46" s="160" t="e">
        <f t="shared" si="12"/>
        <v>#REF!</v>
      </c>
      <c r="R46" s="160" t="e">
        <f t="shared" si="13"/>
        <v>#REF!</v>
      </c>
      <c r="S46" s="161" t="e">
        <f t="shared" si="14"/>
        <v>#REF!</v>
      </c>
    </row>
    <row r="47" spans="1:19" x14ac:dyDescent="0.25">
      <c r="A47" s="87" t="s">
        <v>176</v>
      </c>
      <c r="B47" s="47"/>
      <c r="C47" s="3" t="s">
        <v>168</v>
      </c>
      <c r="D47" s="152" t="s">
        <v>170</v>
      </c>
      <c r="E47" s="126" t="s">
        <v>160</v>
      </c>
      <c r="F47" s="171"/>
      <c r="G47" s="172">
        <f>G39</f>
        <v>650</v>
      </c>
      <c r="H47" s="172">
        <f t="shared" ref="H47:I47" si="30">H39</f>
        <v>650</v>
      </c>
      <c r="I47" s="172">
        <f t="shared" si="30"/>
        <v>650</v>
      </c>
      <c r="J47" s="162">
        <f>J43</f>
        <v>2.4166666666666665</v>
      </c>
      <c r="K47" s="162">
        <f t="shared" si="7"/>
        <v>2.54</v>
      </c>
      <c r="L47" s="162">
        <f t="shared" si="7"/>
        <v>2.67</v>
      </c>
      <c r="M47" s="4">
        <f t="shared" ref="M47:M50" si="31">G47*J47*3</f>
        <v>4712.5</v>
      </c>
      <c r="N47" s="4">
        <f t="shared" ref="N47:N50" si="32">H47*K47*12</f>
        <v>19812</v>
      </c>
      <c r="O47" s="4">
        <f t="shared" ref="O47:O50" si="33">I47*L47*6</f>
        <v>10413</v>
      </c>
      <c r="P47" s="93">
        <f t="shared" si="16"/>
        <v>0.08</v>
      </c>
      <c r="Q47" s="98">
        <f t="shared" si="12"/>
        <v>5089.5</v>
      </c>
      <c r="R47" s="145">
        <f t="shared" si="13"/>
        <v>21396.959999999999</v>
      </c>
      <c r="S47" s="163">
        <f t="shared" si="14"/>
        <v>11246.04</v>
      </c>
    </row>
    <row r="48" spans="1:19" x14ac:dyDescent="0.25">
      <c r="A48" s="87"/>
      <c r="B48" s="47"/>
      <c r="C48" s="5"/>
      <c r="D48" s="147" t="s">
        <v>171</v>
      </c>
      <c r="E48" s="23" t="s">
        <v>160</v>
      </c>
      <c r="F48" s="109"/>
      <c r="G48" s="127">
        <f>G40</f>
        <v>3200</v>
      </c>
      <c r="H48" s="127">
        <f t="shared" ref="H48:I48" si="34">H40</f>
        <v>3200</v>
      </c>
      <c r="I48" s="127">
        <f t="shared" si="34"/>
        <v>3200</v>
      </c>
      <c r="J48" s="95">
        <f>J47</f>
        <v>2.4166666666666665</v>
      </c>
      <c r="K48" s="95">
        <f t="shared" ref="K48" si="35">ROUND(J48*$I$29+J48,2)</f>
        <v>2.54</v>
      </c>
      <c r="L48" s="95">
        <f t="shared" ref="L48" si="36">ROUND(K48*$I$29+K48,2)</f>
        <v>2.67</v>
      </c>
      <c r="M48" s="1">
        <f t="shared" ref="M48" si="37">G48*J48*3</f>
        <v>23200</v>
      </c>
      <c r="N48" s="1">
        <f t="shared" ref="N48" si="38">H48*K48*12</f>
        <v>97536</v>
      </c>
      <c r="O48" s="1">
        <f t="shared" ref="O48" si="39">I48*L48*6</f>
        <v>51264</v>
      </c>
      <c r="P48" s="39">
        <f t="shared" si="16"/>
        <v>0.08</v>
      </c>
      <c r="Q48" s="150">
        <f t="shared" ref="Q48" si="40">ROUND(M48*$P$31+M48,2)</f>
        <v>25056</v>
      </c>
      <c r="R48" s="158">
        <f t="shared" ref="R48" si="41">ROUND(N48*$P$31+N48,2)</f>
        <v>105338.88</v>
      </c>
      <c r="S48" s="164">
        <f t="shared" ref="S48" si="42">ROUND(O48*$P$31+O48,2)</f>
        <v>55365.120000000003</v>
      </c>
    </row>
    <row r="49" spans="1:19" ht="30" x14ac:dyDescent="0.25">
      <c r="A49" s="87"/>
      <c r="B49" s="47"/>
      <c r="C49" s="5"/>
      <c r="D49" s="147" t="s">
        <v>174</v>
      </c>
      <c r="E49" s="1" t="s">
        <v>455</v>
      </c>
      <c r="F49" s="101"/>
      <c r="G49" s="1">
        <f>G45</f>
        <v>100</v>
      </c>
      <c r="H49" s="1">
        <f>G49</f>
        <v>100</v>
      </c>
      <c r="I49" s="1">
        <f>H49</f>
        <v>100</v>
      </c>
      <c r="J49" s="95">
        <f>J45</f>
        <v>4.1166666666666671</v>
      </c>
      <c r="K49" s="95">
        <f t="shared" si="7"/>
        <v>4.32</v>
      </c>
      <c r="L49" s="95">
        <f t="shared" si="7"/>
        <v>4.54</v>
      </c>
      <c r="M49" s="1">
        <f t="shared" si="31"/>
        <v>1235.0000000000002</v>
      </c>
      <c r="N49" s="1">
        <f t="shared" si="32"/>
        <v>5184</v>
      </c>
      <c r="O49" s="1">
        <f t="shared" si="33"/>
        <v>2724</v>
      </c>
      <c r="P49" s="39">
        <f>P47</f>
        <v>0.08</v>
      </c>
      <c r="Q49" s="150">
        <f>ROUND(M49*$P$31+M49,2)</f>
        <v>1333.8</v>
      </c>
      <c r="R49" s="158">
        <f t="shared" si="13"/>
        <v>5598.72</v>
      </c>
      <c r="S49" s="164">
        <f t="shared" si="14"/>
        <v>2941.92</v>
      </c>
    </row>
    <row r="50" spans="1:19" ht="15.75" thickBot="1" x14ac:dyDescent="0.3">
      <c r="A50" s="87"/>
      <c r="B50" s="47"/>
      <c r="C50" s="6"/>
      <c r="D50" s="154" t="s">
        <v>173</v>
      </c>
      <c r="E50" s="7" t="s">
        <v>162</v>
      </c>
      <c r="F50" s="141"/>
      <c r="G50" s="7">
        <v>100</v>
      </c>
      <c r="H50" s="7">
        <f>G50</f>
        <v>100</v>
      </c>
      <c r="I50" s="7">
        <f>H50</f>
        <v>100</v>
      </c>
      <c r="J50" s="146">
        <f>J46</f>
        <v>13.75</v>
      </c>
      <c r="K50" s="146">
        <f t="shared" si="7"/>
        <v>14.44</v>
      </c>
      <c r="L50" s="146">
        <f t="shared" si="7"/>
        <v>15.16</v>
      </c>
      <c r="M50" s="7">
        <f t="shared" si="31"/>
        <v>4125</v>
      </c>
      <c r="N50" s="7">
        <f t="shared" si="32"/>
        <v>17328</v>
      </c>
      <c r="O50" s="7">
        <f t="shared" si="33"/>
        <v>9096</v>
      </c>
      <c r="P50" s="159">
        <f t="shared" si="16"/>
        <v>0.08</v>
      </c>
      <c r="Q50" s="160">
        <f t="shared" ref="Q50:Q51" si="43">ROUND(M50*$P$31+M50,2)</f>
        <v>4455</v>
      </c>
      <c r="R50" s="161">
        <f t="shared" ref="R50:R51" si="44">ROUND(N50*$P$31+N50,2)</f>
        <v>18714.240000000002</v>
      </c>
      <c r="S50" s="164">
        <f t="shared" ref="S50:S51" si="45">ROUND(O50*$P$31+O50,2)</f>
        <v>9823.68</v>
      </c>
    </row>
    <row r="51" spans="1:19" s="130" customFormat="1" ht="38.25" customHeight="1" x14ac:dyDescent="0.25">
      <c r="A51" s="128" t="s">
        <v>192</v>
      </c>
      <c r="B51" s="129" t="s">
        <v>198</v>
      </c>
      <c r="C51" s="165" t="s">
        <v>193</v>
      </c>
      <c r="D51" s="165" t="s">
        <v>191</v>
      </c>
      <c r="E51" s="166" t="s">
        <v>169</v>
      </c>
      <c r="F51" s="167" t="s">
        <v>202</v>
      </c>
      <c r="G51" s="168">
        <f>SUM(E10:E13)*0.3/0.005*0</f>
        <v>0</v>
      </c>
      <c r="H51" s="168">
        <f>SUM(F10:F13)*0.3/0.005*0</f>
        <v>0</v>
      </c>
      <c r="I51" s="168">
        <f>SUM(G10:G13)*0.3/0.005*0</f>
        <v>0</v>
      </c>
      <c r="J51" s="169">
        <f>J47</f>
        <v>2.4166666666666665</v>
      </c>
      <c r="K51" s="169">
        <f t="shared" si="7"/>
        <v>2.54</v>
      </c>
      <c r="L51" s="169">
        <f t="shared" si="7"/>
        <v>2.67</v>
      </c>
      <c r="M51" s="168">
        <f>G51*J51</f>
        <v>0</v>
      </c>
      <c r="N51" s="168">
        <f>H51*K51</f>
        <v>0</v>
      </c>
      <c r="O51" s="168">
        <f>I51*L51</f>
        <v>0</v>
      </c>
      <c r="P51" s="168">
        <f t="shared" ref="P51" si="46">P50</f>
        <v>0.08</v>
      </c>
      <c r="Q51" s="170">
        <f t="shared" si="43"/>
        <v>0</v>
      </c>
      <c r="R51" s="170">
        <f t="shared" si="44"/>
        <v>0</v>
      </c>
      <c r="S51" s="151">
        <f t="shared" si="45"/>
        <v>0</v>
      </c>
    </row>
    <row r="52" spans="1:19" ht="56.25" customHeight="1" x14ac:dyDescent="0.25">
      <c r="D52" s="75" t="s">
        <v>207</v>
      </c>
      <c r="F52" s="238"/>
      <c r="Q52" s="74" t="e">
        <f>SUM(Q31:Q51)-Q35</f>
        <v>#REF!</v>
      </c>
      <c r="R52" s="74" t="e">
        <f t="shared" ref="R52:S52" si="47">SUM(R31:R51)-R35</f>
        <v>#REF!</v>
      </c>
      <c r="S52" s="74" t="e">
        <f t="shared" si="47"/>
        <v>#REF!</v>
      </c>
    </row>
    <row r="53" spans="1:19" ht="33.75" customHeight="1" x14ac:dyDescent="0.25">
      <c r="D53" s="106" t="s">
        <v>107</v>
      </c>
      <c r="F53" s="239"/>
      <c r="Q53" s="235" t="e">
        <f>SUM(Q52:S52)</f>
        <v>#REF!</v>
      </c>
      <c r="R53" s="235"/>
      <c r="S53" s="235"/>
    </row>
    <row r="54" spans="1:19" x14ac:dyDescent="0.25">
      <c r="C54" s="107" t="s">
        <v>208</v>
      </c>
      <c r="D54" s="108"/>
      <c r="E54" s="102"/>
      <c r="F54" s="102"/>
      <c r="G54" s="102" t="e">
        <f>((G31+G39+G43+G47+G48)*120+(G32+G40+G44)*180+(G33+G37+G41+G45+G49)*220+(G34+G38+G42+G46+G50)*750)/60*39</f>
        <v>#REF!</v>
      </c>
      <c r="H54" s="102" t="s">
        <v>203</v>
      </c>
      <c r="I54" s="102"/>
      <c r="J54" s="103"/>
      <c r="K54" s="103"/>
      <c r="L54" s="103"/>
      <c r="M54" s="102"/>
      <c r="N54" s="102"/>
      <c r="O54" s="102"/>
      <c r="P54" s="104"/>
      <c r="Q54" s="105" t="e">
        <f>Q52/$Q$53*$G$54</f>
        <v>#REF!</v>
      </c>
      <c r="R54" s="105" t="e">
        <f t="shared" ref="R54:S54" si="48">R52/$Q$53*$G$54</f>
        <v>#REF!</v>
      </c>
      <c r="S54" s="105" t="e">
        <f t="shared" si="48"/>
        <v>#REF!</v>
      </c>
    </row>
    <row r="56" spans="1:19" ht="30" x14ac:dyDescent="0.25">
      <c r="C56" s="110" t="s">
        <v>189</v>
      </c>
      <c r="D56" s="96">
        <v>2020</v>
      </c>
      <c r="E56" s="96">
        <v>2021</v>
      </c>
      <c r="F56" s="96">
        <v>2022</v>
      </c>
      <c r="Q56" s="25"/>
    </row>
    <row r="57" spans="1:19" x14ac:dyDescent="0.25">
      <c r="C57" s="111" t="s">
        <v>183</v>
      </c>
      <c r="D57" s="114">
        <f>'przetwarzanie odpadów'!E68</f>
        <v>301342.5</v>
      </c>
      <c r="E57" s="114">
        <f>'przetwarzanie odpadów'!F68</f>
        <v>1446444</v>
      </c>
      <c r="F57" s="114">
        <f>'przetwarzanie odpadów'!G68</f>
        <v>867866.4</v>
      </c>
    </row>
    <row r="58" spans="1:19" x14ac:dyDescent="0.25">
      <c r="C58" s="111" t="s">
        <v>184</v>
      </c>
      <c r="D58" s="114">
        <f>'przetwarzanie odpadów'!E69</f>
        <v>38937.5</v>
      </c>
      <c r="E58" s="114">
        <f>'przetwarzanie odpadów'!F69</f>
        <v>186900</v>
      </c>
      <c r="F58" s="114">
        <f>'przetwarzanie odpadów'!G69</f>
        <v>112140</v>
      </c>
    </row>
    <row r="59" spans="1:19" x14ac:dyDescent="0.25">
      <c r="C59" s="111" t="s">
        <v>194</v>
      </c>
      <c r="D59" s="114">
        <f>L17</f>
        <v>435132</v>
      </c>
      <c r="E59" s="114">
        <f>M17</f>
        <v>1883559.0959999999</v>
      </c>
      <c r="F59" s="114">
        <f>N17</f>
        <v>1018478.8800000001</v>
      </c>
    </row>
    <row r="60" spans="1:19" x14ac:dyDescent="0.25">
      <c r="C60" s="111" t="s">
        <v>185</v>
      </c>
      <c r="D60" s="114">
        <f>L24</f>
        <v>8100</v>
      </c>
      <c r="E60" s="114">
        <f>M24</f>
        <v>8505</v>
      </c>
      <c r="F60" s="114">
        <f>E60</f>
        <v>8505</v>
      </c>
    </row>
    <row r="61" spans="1:19" x14ac:dyDescent="0.25">
      <c r="C61" s="111" t="s">
        <v>204</v>
      </c>
      <c r="D61" s="114" t="e">
        <f>Q52</f>
        <v>#REF!</v>
      </c>
      <c r="E61" s="114" t="e">
        <f>R52</f>
        <v>#REF!</v>
      </c>
      <c r="F61" s="114" t="e">
        <f t="shared" ref="F61" si="49">S52</f>
        <v>#REF!</v>
      </c>
    </row>
    <row r="62" spans="1:19" s="47" customFormat="1" x14ac:dyDescent="0.25">
      <c r="A62" s="87"/>
      <c r="C62" s="112" t="s">
        <v>186</v>
      </c>
      <c r="D62" s="115">
        <f>E62/12*3</f>
        <v>50000</v>
      </c>
      <c r="E62" s="115">
        <v>200000</v>
      </c>
      <c r="F62" s="115">
        <f>E62/12*6</f>
        <v>100000</v>
      </c>
    </row>
    <row r="63" spans="1:19" x14ac:dyDescent="0.25">
      <c r="C63" s="110" t="s">
        <v>187</v>
      </c>
      <c r="D63" s="116" t="e">
        <f>SUM(D57:D62)</f>
        <v>#REF!</v>
      </c>
      <c r="E63" s="116" t="e">
        <f>SUM(E57:E62)</f>
        <v>#REF!</v>
      </c>
      <c r="F63" s="116" t="e">
        <f>SUM(F57:F62)</f>
        <v>#REF!</v>
      </c>
    </row>
    <row r="64" spans="1:19" x14ac:dyDescent="0.25">
      <c r="C64" s="111" t="s">
        <v>188</v>
      </c>
      <c r="D64" s="114"/>
      <c r="E64" s="114">
        <v>16000</v>
      </c>
      <c r="F64" s="114"/>
    </row>
    <row r="65" spans="3:7" ht="21" x14ac:dyDescent="0.35">
      <c r="C65" s="113" t="s">
        <v>190</v>
      </c>
      <c r="D65" s="117" t="e">
        <f>D63/E64/3</f>
        <v>#REF!</v>
      </c>
      <c r="E65" s="117" t="e">
        <f>ROUND(E63/E64/12,2)</f>
        <v>#REF!</v>
      </c>
      <c r="F65" s="117" t="e">
        <f>F63/E64/6</f>
        <v>#REF!</v>
      </c>
    </row>
    <row r="66" spans="3:7" ht="45" x14ac:dyDescent="0.25">
      <c r="C66" s="66"/>
      <c r="D66" s="118"/>
      <c r="E66" s="119" t="s">
        <v>196</v>
      </c>
      <c r="F66" s="119"/>
    </row>
    <row r="67" spans="3:7" ht="30" x14ac:dyDescent="0.25">
      <c r="C67" s="120" t="s">
        <v>205</v>
      </c>
      <c r="D67" s="121" t="e">
        <f>ROUND(Q54,2)</f>
        <v>#REF!</v>
      </c>
      <c r="E67" s="121" t="e">
        <f t="shared" ref="E67:F67" si="50">ROUND(R54,2)</f>
        <v>#REF!</v>
      </c>
      <c r="F67" s="121" t="e">
        <f t="shared" si="50"/>
        <v>#REF!</v>
      </c>
    </row>
    <row r="68" spans="3:7" x14ac:dyDescent="0.25">
      <c r="C68" s="122" t="s">
        <v>187</v>
      </c>
      <c r="D68" s="123" t="e">
        <f>D63+D67</f>
        <v>#REF!</v>
      </c>
      <c r="E68" s="123" t="e">
        <f t="shared" ref="E68:F68" si="51">E63+E67</f>
        <v>#REF!</v>
      </c>
      <c r="F68" s="123" t="e">
        <f t="shared" si="51"/>
        <v>#REF!</v>
      </c>
    </row>
    <row r="69" spans="3:7" ht="21" x14ac:dyDescent="0.35">
      <c r="C69" s="124" t="s">
        <v>190</v>
      </c>
      <c r="D69" s="125" t="e">
        <f>D68/E64/3</f>
        <v>#REF!</v>
      </c>
      <c r="E69" s="125" t="e">
        <f>E68/E64/12</f>
        <v>#REF!</v>
      </c>
      <c r="F69" s="125" t="e">
        <f>F68/E64/6</f>
        <v>#REF!</v>
      </c>
    </row>
    <row r="72" spans="3:7" ht="60" x14ac:dyDescent="0.25">
      <c r="C72" s="120" t="s">
        <v>206</v>
      </c>
      <c r="D72" s="121" t="e">
        <f>D67/1.08*1.23</f>
        <v>#REF!</v>
      </c>
      <c r="E72" s="121" t="e">
        <f t="shared" ref="E72:F72" si="52">E67/1.08*1.23</f>
        <v>#REF!</v>
      </c>
      <c r="F72" s="121" t="e">
        <f t="shared" si="52"/>
        <v>#REF!</v>
      </c>
    </row>
    <row r="73" spans="3:7" x14ac:dyDescent="0.25">
      <c r="C73" s="122" t="s">
        <v>187</v>
      </c>
      <c r="D73" s="123" t="e">
        <f>D63+D72</f>
        <v>#REF!</v>
      </c>
      <c r="E73" s="123" t="e">
        <f t="shared" ref="E73:F73" si="53">E63+E72</f>
        <v>#REF!</v>
      </c>
      <c r="F73" s="123" t="e">
        <f t="shared" si="53"/>
        <v>#REF!</v>
      </c>
    </row>
    <row r="74" spans="3:7" ht="21" x14ac:dyDescent="0.35">
      <c r="C74" s="124" t="s">
        <v>190</v>
      </c>
      <c r="D74" s="125" t="e">
        <f>D73/$E$64/3</f>
        <v>#REF!</v>
      </c>
      <c r="E74" s="125" t="e">
        <f>E73/$E$64/12</f>
        <v>#REF!</v>
      </c>
      <c r="F74" s="125" t="e">
        <f>F73/$E$64/6</f>
        <v>#REF!</v>
      </c>
    </row>
    <row r="79" spans="3:7" ht="30" x14ac:dyDescent="0.25">
      <c r="C79" s="176" t="s">
        <v>209</v>
      </c>
      <c r="D79" s="177">
        <v>2020</v>
      </c>
      <c r="E79" s="176">
        <v>2021</v>
      </c>
      <c r="F79" s="176">
        <v>2022</v>
      </c>
      <c r="G79" s="177" t="s">
        <v>210</v>
      </c>
    </row>
    <row r="80" spans="3:7" x14ac:dyDescent="0.25">
      <c r="C80" s="173" t="s">
        <v>212</v>
      </c>
      <c r="D80" s="174" t="e">
        <f>SUM(Q35:Q38)</f>
        <v>#REF!</v>
      </c>
      <c r="E80" s="174" t="e">
        <f t="shared" ref="E80:F80" si="54">SUM(R35:R38)</f>
        <v>#REF!</v>
      </c>
      <c r="F80" s="174" t="e">
        <f t="shared" si="54"/>
        <v>#REF!</v>
      </c>
      <c r="G80" s="173" t="e">
        <f>SUM(D80:F80)</f>
        <v>#REF!</v>
      </c>
    </row>
    <row r="81" spans="3:10" x14ac:dyDescent="0.25">
      <c r="C81" s="173" t="s">
        <v>211</v>
      </c>
      <c r="D81" s="175">
        <v>45368.639999999999</v>
      </c>
      <c r="E81" s="175">
        <v>190675.3</v>
      </c>
      <c r="F81" s="175">
        <v>100127.02000000002</v>
      </c>
      <c r="G81" s="173">
        <f>SUM(D81:F81)</f>
        <v>336170.96</v>
      </c>
    </row>
    <row r="84" spans="3:10" x14ac:dyDescent="0.25">
      <c r="C84" t="s">
        <v>213</v>
      </c>
    </row>
    <row r="86" spans="3:10" ht="45" x14ac:dyDescent="0.25">
      <c r="C86" s="184" t="s">
        <v>214</v>
      </c>
      <c r="D86" s="147" t="s">
        <v>217</v>
      </c>
      <c r="E86" s="1" t="s">
        <v>218</v>
      </c>
      <c r="F86" s="1" t="s">
        <v>219</v>
      </c>
      <c r="G86" s="181" t="s">
        <v>222</v>
      </c>
      <c r="H86" s="178" t="s">
        <v>223</v>
      </c>
      <c r="I86" s="179"/>
      <c r="J86" s="182" t="s">
        <v>224</v>
      </c>
    </row>
    <row r="87" spans="3:10" x14ac:dyDescent="0.25">
      <c r="C87" s="1" t="s">
        <v>215</v>
      </c>
      <c r="D87" s="147">
        <f>G47+G48</f>
        <v>3850</v>
      </c>
      <c r="E87" s="1">
        <v>120</v>
      </c>
      <c r="F87" s="1">
        <f>E87*1.23</f>
        <v>147.6</v>
      </c>
      <c r="G87" s="181">
        <f>F87*D87</f>
        <v>568260</v>
      </c>
      <c r="H87" s="178">
        <v>5</v>
      </c>
      <c r="I87" s="179">
        <f>D87*H87</f>
        <v>19250</v>
      </c>
      <c r="J87" s="183">
        <f>G87+I87</f>
        <v>587510</v>
      </c>
    </row>
    <row r="88" spans="3:10" x14ac:dyDescent="0.25">
      <c r="C88" s="1" t="s">
        <v>221</v>
      </c>
      <c r="D88" s="147">
        <f>G49</f>
        <v>100</v>
      </c>
      <c r="E88" s="1">
        <v>220</v>
      </c>
      <c r="F88" s="1">
        <f t="shared" ref="F88:F89" si="55">E88*1.23</f>
        <v>270.60000000000002</v>
      </c>
      <c r="G88" s="181">
        <f t="shared" ref="G88:G89" si="56">F88*D88</f>
        <v>27060.000000000004</v>
      </c>
      <c r="H88" s="178">
        <v>5</v>
      </c>
      <c r="I88" s="179">
        <f t="shared" ref="I88:I89" si="57">D88*H88</f>
        <v>500</v>
      </c>
      <c r="J88" s="183">
        <f>G88+I88</f>
        <v>27560.000000000004</v>
      </c>
    </row>
    <row r="89" spans="3:10" x14ac:dyDescent="0.25">
      <c r="C89" s="1" t="s">
        <v>216</v>
      </c>
      <c r="D89" s="147">
        <f>G50</f>
        <v>100</v>
      </c>
      <c r="E89" s="1">
        <v>750</v>
      </c>
      <c r="F89" s="1">
        <f t="shared" si="55"/>
        <v>922.5</v>
      </c>
      <c r="G89" s="181">
        <f t="shared" si="56"/>
        <v>92250</v>
      </c>
      <c r="H89" s="178">
        <v>10</v>
      </c>
      <c r="I89" s="179">
        <f t="shared" si="57"/>
        <v>1000</v>
      </c>
      <c r="J89" s="183">
        <f>G89+I89</f>
        <v>93250</v>
      </c>
    </row>
    <row r="90" spans="3:10" x14ac:dyDescent="0.25">
      <c r="J90" s="183">
        <f>SUM(J87:J89)</f>
        <v>708320</v>
      </c>
    </row>
  </sheetData>
  <mergeCells count="18">
    <mergeCell ref="F52:F53"/>
    <mergeCell ref="G35:G36"/>
    <mergeCell ref="H35:H36"/>
    <mergeCell ref="I35:I36"/>
    <mergeCell ref="J35:J36"/>
    <mergeCell ref="R35:R36"/>
    <mergeCell ref="S35:S36"/>
    <mergeCell ref="L25:N25"/>
    <mergeCell ref="Q53:S53"/>
    <mergeCell ref="H18:J18"/>
    <mergeCell ref="L18:N18"/>
    <mergeCell ref="K35:K36"/>
    <mergeCell ref="L35:L36"/>
    <mergeCell ref="M35:M36"/>
    <mergeCell ref="N35:N36"/>
    <mergeCell ref="O35:O36"/>
    <mergeCell ref="P35:P36"/>
    <mergeCell ref="Q35:Q3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11"/>
  <sheetViews>
    <sheetView topLeftCell="A25" workbookViewId="0">
      <selection activeCell="F56" sqref="F56"/>
    </sheetView>
  </sheetViews>
  <sheetFormatPr defaultRowHeight="15" x14ac:dyDescent="0.25"/>
  <cols>
    <col min="3" max="3" width="23.42578125" customWidth="1"/>
    <col min="4" max="4" width="62" customWidth="1"/>
    <col min="5" max="5" width="14.5703125" customWidth="1"/>
    <col min="6" max="6" width="15.42578125" customWidth="1"/>
    <col min="7" max="7" width="15.85546875" customWidth="1"/>
    <col min="8" max="8" width="15.7109375" customWidth="1"/>
    <col min="9" max="9" width="16.7109375" customWidth="1"/>
    <col min="10" max="10" width="14.140625" customWidth="1"/>
    <col min="11" max="11" width="14.85546875" customWidth="1"/>
    <col min="12" max="12" width="27.28515625" customWidth="1"/>
    <col min="13" max="13" width="15.42578125" customWidth="1"/>
    <col min="14" max="14" width="14.42578125" customWidth="1"/>
    <col min="15" max="15" width="15.42578125" customWidth="1"/>
  </cols>
  <sheetData>
    <row r="1" spans="3:7" ht="15.75" thickBot="1" x14ac:dyDescent="0.3"/>
    <row r="2" spans="3:7" ht="45.75" thickBot="1" x14ac:dyDescent="0.3">
      <c r="D2" s="9" t="s">
        <v>27</v>
      </c>
      <c r="E2" s="21" t="s">
        <v>18</v>
      </c>
      <c r="F2" s="21" t="s">
        <v>17</v>
      </c>
      <c r="G2" s="22" t="s">
        <v>15</v>
      </c>
    </row>
    <row r="3" spans="3:7" x14ac:dyDescent="0.25">
      <c r="C3" t="s">
        <v>26</v>
      </c>
      <c r="D3" s="19" t="s">
        <v>0</v>
      </c>
      <c r="E3" s="2">
        <v>2513</v>
      </c>
      <c r="F3" s="2">
        <v>310</v>
      </c>
      <c r="G3" s="20">
        <f>E3*F3</f>
        <v>779030</v>
      </c>
    </row>
    <row r="4" spans="3:7" x14ac:dyDescent="0.25">
      <c r="D4" s="5" t="s">
        <v>1</v>
      </c>
      <c r="E4" s="1">
        <v>814</v>
      </c>
      <c r="F4" s="1">
        <v>100</v>
      </c>
      <c r="G4" s="13">
        <f t="shared" ref="G4:G7" si="0">E4*F4</f>
        <v>81400</v>
      </c>
    </row>
    <row r="5" spans="3:7" x14ac:dyDescent="0.25">
      <c r="D5" s="5" t="s">
        <v>3</v>
      </c>
      <c r="E5" s="1">
        <v>888</v>
      </c>
      <c r="F5" s="1">
        <v>150</v>
      </c>
      <c r="G5" s="13">
        <f t="shared" si="0"/>
        <v>133200</v>
      </c>
    </row>
    <row r="6" spans="3:7" x14ac:dyDescent="0.25">
      <c r="D6" s="5" t="s">
        <v>2</v>
      </c>
      <c r="E6" s="1">
        <v>70</v>
      </c>
      <c r="F6" s="1">
        <v>20</v>
      </c>
      <c r="G6" s="13">
        <f t="shared" si="0"/>
        <v>1400</v>
      </c>
    </row>
    <row r="7" spans="3:7" x14ac:dyDescent="0.25">
      <c r="D7" s="5" t="s">
        <v>4</v>
      </c>
      <c r="E7" s="1">
        <v>232</v>
      </c>
      <c r="F7" s="1">
        <v>20</v>
      </c>
      <c r="G7" s="13">
        <f t="shared" si="0"/>
        <v>4640</v>
      </c>
    </row>
    <row r="8" spans="3:7" ht="15.75" thickBot="1" x14ac:dyDescent="0.3">
      <c r="D8" s="6"/>
      <c r="E8" s="7"/>
      <c r="F8" s="7"/>
      <c r="G8" s="14">
        <f>SUM(G3:G7)</f>
        <v>999670</v>
      </c>
    </row>
    <row r="9" spans="3:7" ht="15.75" thickBot="1" x14ac:dyDescent="0.3">
      <c r="D9" s="8"/>
      <c r="E9" s="8"/>
      <c r="F9" s="8"/>
      <c r="G9" s="15"/>
    </row>
    <row r="10" spans="3:7" ht="15.75" thickBot="1" x14ac:dyDescent="0.3">
      <c r="D10" s="9" t="s">
        <v>5</v>
      </c>
      <c r="E10" s="10">
        <v>8000</v>
      </c>
      <c r="F10" s="10">
        <v>12</v>
      </c>
      <c r="G10" s="16">
        <f>E10*F10</f>
        <v>96000</v>
      </c>
    </row>
    <row r="11" spans="3:7" ht="15.75" thickBot="1" x14ac:dyDescent="0.3">
      <c r="D11" s="11"/>
      <c r="E11" s="8"/>
      <c r="F11" s="8"/>
      <c r="G11" s="17"/>
    </row>
    <row r="12" spans="3:7" x14ac:dyDescent="0.25">
      <c r="D12" s="3" t="s">
        <v>6</v>
      </c>
      <c r="E12" s="4"/>
      <c r="F12" s="4"/>
      <c r="G12" s="12"/>
    </row>
    <row r="13" spans="3:7" x14ac:dyDescent="0.25">
      <c r="D13" s="5" t="s">
        <v>7</v>
      </c>
      <c r="E13" s="1">
        <v>43.808</v>
      </c>
      <c r="F13" s="1">
        <v>300</v>
      </c>
      <c r="G13" s="13">
        <f>E13*F13</f>
        <v>13142.4</v>
      </c>
    </row>
    <row r="14" spans="3:7" x14ac:dyDescent="0.25">
      <c r="D14" s="5" t="s">
        <v>8</v>
      </c>
      <c r="E14" s="1">
        <v>29.094999999999999</v>
      </c>
      <c r="F14" s="1">
        <v>323</v>
      </c>
      <c r="G14" s="13">
        <f t="shared" ref="G14:G21" si="1">E14*F14</f>
        <v>9397.6849999999995</v>
      </c>
    </row>
    <row r="15" spans="3:7" x14ac:dyDescent="0.25">
      <c r="D15" s="5" t="s">
        <v>9</v>
      </c>
      <c r="E15" s="1">
        <v>1.7090000000000001</v>
      </c>
      <c r="F15" s="1">
        <v>3000</v>
      </c>
      <c r="G15" s="13">
        <f t="shared" si="1"/>
        <v>5127</v>
      </c>
    </row>
    <row r="16" spans="3:7" x14ac:dyDescent="0.25">
      <c r="D16" s="5" t="s">
        <v>16</v>
      </c>
      <c r="E16" s="1">
        <v>0.47099999999999997</v>
      </c>
      <c r="F16" s="1">
        <v>2000</v>
      </c>
      <c r="G16" s="13">
        <f t="shared" si="1"/>
        <v>942</v>
      </c>
    </row>
    <row r="17" spans="3:20" x14ac:dyDescent="0.25">
      <c r="D17" s="5" t="s">
        <v>10</v>
      </c>
      <c r="E17" s="1">
        <v>1.0999999999999999E-2</v>
      </c>
      <c r="F17" s="1">
        <v>3000</v>
      </c>
      <c r="G17" s="13">
        <f t="shared" si="1"/>
        <v>33</v>
      </c>
    </row>
    <row r="18" spans="3:20" x14ac:dyDescent="0.25">
      <c r="D18" s="5" t="s">
        <v>14</v>
      </c>
      <c r="E18" s="1">
        <v>0.63</v>
      </c>
      <c r="F18" s="1">
        <v>3000</v>
      </c>
      <c r="G18" s="13">
        <f t="shared" si="1"/>
        <v>1890</v>
      </c>
    </row>
    <row r="19" spans="3:20" x14ac:dyDescent="0.25">
      <c r="D19" s="5" t="s">
        <v>11</v>
      </c>
      <c r="E19" s="1">
        <v>2.323</v>
      </c>
      <c r="F19" s="1">
        <v>600</v>
      </c>
      <c r="G19" s="13">
        <f t="shared" si="1"/>
        <v>1393.8</v>
      </c>
    </row>
    <row r="20" spans="3:20" x14ac:dyDescent="0.25">
      <c r="D20" s="5" t="s">
        <v>12</v>
      </c>
      <c r="E20" s="1">
        <v>0.10100000000000001</v>
      </c>
      <c r="F20" s="1">
        <v>3000</v>
      </c>
      <c r="G20" s="13">
        <f t="shared" si="1"/>
        <v>303</v>
      </c>
    </row>
    <row r="21" spans="3:20" x14ac:dyDescent="0.25">
      <c r="D21" s="5" t="s">
        <v>13</v>
      </c>
      <c r="E21" s="1">
        <v>7.29</v>
      </c>
      <c r="F21" s="1">
        <v>100</v>
      </c>
      <c r="G21" s="13">
        <f t="shared" si="1"/>
        <v>729</v>
      </c>
    </row>
    <row r="22" spans="3:20" ht="15.75" thickBot="1" x14ac:dyDescent="0.3">
      <c r="D22" s="6"/>
      <c r="E22" s="7"/>
      <c r="F22" s="7"/>
      <c r="G22" s="14">
        <f>SUM(G13:G21)</f>
        <v>32957.884999999995</v>
      </c>
    </row>
    <row r="23" spans="3:20" x14ac:dyDescent="0.25">
      <c r="D23" s="2" t="s">
        <v>24</v>
      </c>
      <c r="E23" s="2"/>
      <c r="F23" s="2"/>
      <c r="G23" s="18">
        <f>SUM(G8,G10,G22)</f>
        <v>1128627.885</v>
      </c>
    </row>
    <row r="26" spans="3:20" ht="45" x14ac:dyDescent="0.25">
      <c r="C26" s="33" t="s">
        <v>44</v>
      </c>
      <c r="D26" s="33" t="s">
        <v>57</v>
      </c>
      <c r="E26" s="34" t="s">
        <v>19</v>
      </c>
      <c r="F26" s="34" t="s">
        <v>66</v>
      </c>
      <c r="G26" s="34" t="s">
        <v>15</v>
      </c>
    </row>
    <row r="27" spans="3:20" x14ac:dyDescent="0.25">
      <c r="C27" s="1" t="s">
        <v>26</v>
      </c>
      <c r="D27" s="1" t="s">
        <v>30</v>
      </c>
      <c r="E27" s="23">
        <v>2000</v>
      </c>
      <c r="F27" s="23">
        <v>400</v>
      </c>
      <c r="G27" s="30">
        <f>E27*F27</f>
        <v>800000</v>
      </c>
      <c r="I27" s="62">
        <f>F27/F3</f>
        <v>1.2903225806451613</v>
      </c>
    </row>
    <row r="28" spans="3:20" x14ac:dyDescent="0.25">
      <c r="C28" s="1" t="s">
        <v>29</v>
      </c>
      <c r="D28" s="1" t="s">
        <v>28</v>
      </c>
      <c r="E28" s="23">
        <v>840</v>
      </c>
      <c r="F28" s="23">
        <v>120</v>
      </c>
      <c r="G28" s="30">
        <f t="shared" ref="G28:G37" si="2">E28*F28</f>
        <v>100800</v>
      </c>
      <c r="I28" s="62">
        <f t="shared" ref="I28:I30" si="3">F28/F4</f>
        <v>1.2</v>
      </c>
    </row>
    <row r="29" spans="3:20" x14ac:dyDescent="0.25">
      <c r="C29" s="1" t="s">
        <v>31</v>
      </c>
      <c r="D29" s="1" t="s">
        <v>32</v>
      </c>
      <c r="E29" s="23">
        <v>900</v>
      </c>
      <c r="F29" s="23">
        <v>250</v>
      </c>
      <c r="G29" s="30">
        <f t="shared" si="2"/>
        <v>225000</v>
      </c>
      <c r="I29" s="62">
        <f t="shared" si="3"/>
        <v>1.6666666666666667</v>
      </c>
    </row>
    <row r="30" spans="3:20" x14ac:dyDescent="0.25">
      <c r="C30" s="1" t="s">
        <v>33</v>
      </c>
      <c r="D30" s="1" t="s">
        <v>35</v>
      </c>
      <c r="E30" s="23">
        <v>100</v>
      </c>
      <c r="F30" s="23">
        <v>250</v>
      </c>
      <c r="G30" s="30">
        <f t="shared" si="2"/>
        <v>25000</v>
      </c>
      <c r="I30" s="62">
        <f t="shared" si="3"/>
        <v>12.5</v>
      </c>
    </row>
    <row r="31" spans="3:20" x14ac:dyDescent="0.25">
      <c r="C31" s="1" t="s">
        <v>34</v>
      </c>
      <c r="D31" s="1" t="s">
        <v>4</v>
      </c>
      <c r="E31" s="23">
        <v>250</v>
      </c>
      <c r="F31" s="23">
        <v>100</v>
      </c>
      <c r="G31" s="30">
        <f t="shared" si="2"/>
        <v>25000</v>
      </c>
      <c r="I31" s="62">
        <f>F31/F7</f>
        <v>5</v>
      </c>
      <c r="T31" s="26"/>
    </row>
    <row r="32" spans="3:20" x14ac:dyDescent="0.25">
      <c r="C32" s="1" t="s">
        <v>8</v>
      </c>
      <c r="D32" s="27" t="s">
        <v>36</v>
      </c>
      <c r="E32" s="27">
        <v>20</v>
      </c>
      <c r="F32" s="23">
        <v>1000</v>
      </c>
      <c r="G32" s="28">
        <f t="shared" si="2"/>
        <v>20000</v>
      </c>
      <c r="I32" s="62">
        <f>F32/F14</f>
        <v>3.0959752321981426</v>
      </c>
      <c r="T32" s="26"/>
    </row>
    <row r="33" spans="3:20" x14ac:dyDescent="0.25">
      <c r="C33" s="1" t="s">
        <v>39</v>
      </c>
      <c r="D33" s="27" t="s">
        <v>37</v>
      </c>
      <c r="E33" s="27">
        <v>2</v>
      </c>
      <c r="F33" s="23">
        <v>3000</v>
      </c>
      <c r="G33" s="29">
        <f t="shared" si="2"/>
        <v>6000</v>
      </c>
      <c r="I33" s="62">
        <f>F33/F15</f>
        <v>1</v>
      </c>
      <c r="T33" s="26"/>
    </row>
    <row r="34" spans="3:20" s="47" customFormat="1" x14ac:dyDescent="0.25">
      <c r="C34" s="23" t="s">
        <v>40</v>
      </c>
      <c r="D34" s="45" t="s">
        <v>70</v>
      </c>
      <c r="E34" s="23">
        <v>0.05</v>
      </c>
      <c r="F34" s="23">
        <v>5000</v>
      </c>
      <c r="G34" s="46">
        <f t="shared" si="2"/>
        <v>250</v>
      </c>
      <c r="I34" s="63"/>
      <c r="T34" s="48"/>
    </row>
    <row r="35" spans="3:20" s="47" customFormat="1" x14ac:dyDescent="0.25">
      <c r="C35" s="23" t="s">
        <v>42</v>
      </c>
      <c r="D35" s="45" t="s">
        <v>71</v>
      </c>
      <c r="E35" s="23">
        <v>0.01</v>
      </c>
      <c r="F35" s="23">
        <v>6000</v>
      </c>
      <c r="G35" s="46">
        <f t="shared" si="2"/>
        <v>60</v>
      </c>
      <c r="T35" s="48"/>
    </row>
    <row r="36" spans="3:20" s="47" customFormat="1" x14ac:dyDescent="0.25">
      <c r="C36" s="23" t="s">
        <v>41</v>
      </c>
      <c r="D36" s="45" t="s">
        <v>72</v>
      </c>
      <c r="E36" s="23">
        <v>0.01</v>
      </c>
      <c r="F36" s="23">
        <v>6000</v>
      </c>
      <c r="G36" s="46">
        <f t="shared" si="2"/>
        <v>60</v>
      </c>
      <c r="K36" s="47" t="s">
        <v>69</v>
      </c>
      <c r="L36" s="47">
        <f>G38*0.02</f>
        <v>24107.4</v>
      </c>
    </row>
    <row r="37" spans="3:20" x14ac:dyDescent="0.25">
      <c r="C37" s="1" t="s">
        <v>11</v>
      </c>
      <c r="D37" s="27" t="s">
        <v>38</v>
      </c>
      <c r="E37" s="27">
        <v>4</v>
      </c>
      <c r="F37" s="23">
        <v>800</v>
      </c>
      <c r="G37" s="29">
        <f t="shared" si="2"/>
        <v>3200</v>
      </c>
    </row>
    <row r="38" spans="3:20" x14ac:dyDescent="0.25">
      <c r="C38" s="1"/>
      <c r="D38" s="1"/>
      <c r="E38" s="1"/>
      <c r="F38" s="1"/>
      <c r="G38" s="31">
        <f>SUM(G27:G37)</f>
        <v>1205370</v>
      </c>
      <c r="H38">
        <f>G38*1.2</f>
        <v>1446444</v>
      </c>
      <c r="I38">
        <f>H38*1.2</f>
        <v>1735732.8</v>
      </c>
      <c r="K38" t="s">
        <v>68</v>
      </c>
      <c r="L38">
        <f>G38*1.23*5%</f>
        <v>74130.255000000005</v>
      </c>
    </row>
    <row r="39" spans="3:20" ht="15.75" thickBot="1" x14ac:dyDescent="0.3">
      <c r="D39" s="8"/>
      <c r="E39" s="8"/>
      <c r="F39" s="8"/>
      <c r="G39" s="15"/>
    </row>
    <row r="40" spans="3:20" ht="15.75" thickBot="1" x14ac:dyDescent="0.3">
      <c r="D40" s="9" t="s">
        <v>5</v>
      </c>
      <c r="E40" s="10">
        <v>8000</v>
      </c>
      <c r="F40" s="10">
        <v>12</v>
      </c>
      <c r="G40" s="16">
        <f>E40*F40</f>
        <v>96000</v>
      </c>
    </row>
    <row r="41" spans="3:20" x14ac:dyDescent="0.25">
      <c r="D41" s="11"/>
      <c r="E41" s="8"/>
      <c r="F41" s="8"/>
      <c r="G41" s="17"/>
    </row>
    <row r="42" spans="3:20" ht="30" x14ac:dyDescent="0.25">
      <c r="C42" s="33" t="s">
        <v>44</v>
      </c>
      <c r="D42" s="33" t="s">
        <v>56</v>
      </c>
      <c r="E42" s="34" t="s">
        <v>19</v>
      </c>
      <c r="F42" s="34" t="s">
        <v>67</v>
      </c>
      <c r="G42" s="34" t="s">
        <v>15</v>
      </c>
    </row>
    <row r="43" spans="3:20" x14ac:dyDescent="0.25">
      <c r="C43" s="1" t="s">
        <v>7</v>
      </c>
      <c r="D43" s="1" t="s">
        <v>49</v>
      </c>
      <c r="E43" s="23">
        <v>45</v>
      </c>
      <c r="F43" s="23">
        <v>310</v>
      </c>
      <c r="G43" s="30">
        <f>E43*F43</f>
        <v>13950</v>
      </c>
    </row>
    <row r="44" spans="3:20" x14ac:dyDescent="0.25">
      <c r="C44" s="1" t="s">
        <v>8</v>
      </c>
      <c r="D44" s="1" t="s">
        <v>50</v>
      </c>
      <c r="E44" s="23">
        <v>30</v>
      </c>
      <c r="F44" s="23">
        <v>1000</v>
      </c>
      <c r="G44" s="30">
        <f t="shared" ref="G44:G51" si="4">E44*F44</f>
        <v>30000</v>
      </c>
    </row>
    <row r="45" spans="3:20" x14ac:dyDescent="0.25">
      <c r="C45" s="1" t="s">
        <v>43</v>
      </c>
      <c r="D45" s="1" t="s">
        <v>45</v>
      </c>
      <c r="E45" s="23">
        <v>2</v>
      </c>
      <c r="F45" s="23">
        <v>3000</v>
      </c>
      <c r="G45" s="30">
        <f t="shared" si="4"/>
        <v>6000</v>
      </c>
    </row>
    <row r="46" spans="3:20" x14ac:dyDescent="0.25">
      <c r="C46" s="1" t="s">
        <v>16</v>
      </c>
      <c r="D46" s="1" t="s">
        <v>46</v>
      </c>
      <c r="E46" s="23">
        <v>1</v>
      </c>
      <c r="F46" s="23">
        <v>2000</v>
      </c>
      <c r="G46" s="30">
        <f t="shared" si="4"/>
        <v>2000</v>
      </c>
    </row>
    <row r="47" spans="3:20" x14ac:dyDescent="0.25">
      <c r="C47" s="1" t="s">
        <v>10</v>
      </c>
      <c r="D47" s="1" t="s">
        <v>51</v>
      </c>
      <c r="E47" s="23">
        <v>0.1</v>
      </c>
      <c r="F47" s="23">
        <v>6000</v>
      </c>
      <c r="G47" s="30">
        <f t="shared" si="4"/>
        <v>600</v>
      </c>
    </row>
    <row r="48" spans="3:20" x14ac:dyDescent="0.25">
      <c r="C48" s="1" t="s">
        <v>14</v>
      </c>
      <c r="D48" s="1" t="s">
        <v>52</v>
      </c>
      <c r="E48" s="23">
        <v>1</v>
      </c>
      <c r="F48" s="23">
        <v>3000</v>
      </c>
      <c r="G48" s="30">
        <f t="shared" si="4"/>
        <v>3000</v>
      </c>
    </row>
    <row r="49" spans="3:18" x14ac:dyDescent="0.25">
      <c r="C49" s="1" t="s">
        <v>11</v>
      </c>
      <c r="D49" s="1" t="s">
        <v>47</v>
      </c>
      <c r="E49" s="23">
        <v>2.5</v>
      </c>
      <c r="F49" s="23">
        <v>800</v>
      </c>
      <c r="G49" s="30">
        <f t="shared" si="4"/>
        <v>2000</v>
      </c>
    </row>
    <row r="50" spans="3:18" x14ac:dyDescent="0.25">
      <c r="C50" s="1" t="s">
        <v>12</v>
      </c>
      <c r="D50" s="1" t="s">
        <v>48</v>
      </c>
      <c r="E50" s="23">
        <v>0.1</v>
      </c>
      <c r="F50" s="23">
        <v>6000</v>
      </c>
      <c r="G50" s="30">
        <f t="shared" si="4"/>
        <v>600</v>
      </c>
    </row>
    <row r="51" spans="3:18" x14ac:dyDescent="0.25">
      <c r="C51" s="1" t="s">
        <v>13</v>
      </c>
      <c r="D51" s="1" t="s">
        <v>53</v>
      </c>
      <c r="E51" s="23">
        <v>10</v>
      </c>
      <c r="F51" s="23">
        <v>160</v>
      </c>
      <c r="G51" s="30">
        <f t="shared" si="4"/>
        <v>1600</v>
      </c>
    </row>
    <row r="52" spans="3:18" x14ac:dyDescent="0.25">
      <c r="C52" s="1"/>
      <c r="D52" s="1"/>
      <c r="E52" s="1"/>
      <c r="F52" s="1"/>
      <c r="G52" s="31">
        <f>SUM(G43:G51)</f>
        <v>59750</v>
      </c>
      <c r="M52">
        <f>C52</f>
        <v>0</v>
      </c>
      <c r="N52">
        <f>D52</f>
        <v>0</v>
      </c>
      <c r="O52" s="25"/>
      <c r="P52" s="25"/>
      <c r="Q52" s="25"/>
      <c r="R52" s="25"/>
    </row>
    <row r="53" spans="3:18" x14ac:dyDescent="0.25">
      <c r="C53" s="50"/>
      <c r="D53" s="2"/>
      <c r="E53" s="2"/>
      <c r="F53" s="2"/>
      <c r="G53" s="51"/>
      <c r="O53" s="25"/>
      <c r="P53" s="25"/>
      <c r="Q53" s="25"/>
      <c r="R53" s="25"/>
    </row>
    <row r="54" spans="3:18" x14ac:dyDescent="0.25">
      <c r="D54" s="2" t="s">
        <v>24</v>
      </c>
      <c r="E54" s="2"/>
      <c r="F54" s="2"/>
      <c r="G54" s="18">
        <f>SUM(G38,G40,G52)</f>
        <v>1361120</v>
      </c>
      <c r="M54">
        <f>C54</f>
        <v>0</v>
      </c>
      <c r="N54" t="str">
        <f>D54</f>
        <v>Razem przetwarzanie i PSZOK</v>
      </c>
      <c r="O54" s="25"/>
      <c r="P54" s="25"/>
      <c r="Q54" s="25"/>
      <c r="R54" s="25"/>
    </row>
    <row r="59" spans="3:18" ht="16.5" x14ac:dyDescent="0.25">
      <c r="D59" t="s">
        <v>20</v>
      </c>
      <c r="G59" s="24">
        <v>4.2693000000000003</v>
      </c>
    </row>
    <row r="60" spans="3:18" x14ac:dyDescent="0.25">
      <c r="D60" t="s">
        <v>21</v>
      </c>
    </row>
    <row r="61" spans="3:18" ht="16.5" x14ac:dyDescent="0.25">
      <c r="D61" s="24" t="s">
        <v>22</v>
      </c>
    </row>
    <row r="64" spans="3:18" x14ac:dyDescent="0.25">
      <c r="D64" t="s">
        <v>23</v>
      </c>
    </row>
    <row r="67" spans="3:24" x14ac:dyDescent="0.25">
      <c r="D67" s="52"/>
      <c r="E67" s="52" t="s">
        <v>75</v>
      </c>
      <c r="F67" s="52" t="s">
        <v>76</v>
      </c>
      <c r="G67" s="52" t="s">
        <v>146</v>
      </c>
      <c r="H67" s="52" t="s">
        <v>77</v>
      </c>
      <c r="I67" s="53" t="s">
        <v>78</v>
      </c>
      <c r="J67" s="52"/>
      <c r="L67" s="80" t="s">
        <v>147</v>
      </c>
      <c r="M67" s="81">
        <v>2020</v>
      </c>
      <c r="N67" s="81">
        <v>2021</v>
      </c>
      <c r="O67" s="81">
        <v>2020</v>
      </c>
    </row>
    <row r="68" spans="3:24" x14ac:dyDescent="0.25">
      <c r="D68" s="52" t="s">
        <v>54</v>
      </c>
      <c r="E68" s="54">
        <f>$G$38/12*3</f>
        <v>301342.5</v>
      </c>
      <c r="F68" s="54">
        <f>$G$38/12*12*120%</f>
        <v>1446444</v>
      </c>
      <c r="G68" s="54">
        <f>$G$38/12*6*120%*120%</f>
        <v>867866.4</v>
      </c>
      <c r="H68" s="55">
        <f>SUM(E68:G68)</f>
        <v>2615652.9</v>
      </c>
      <c r="I68" s="56">
        <f>H68/$G$59</f>
        <v>612665.51893753069</v>
      </c>
      <c r="J68" s="52" t="s">
        <v>25</v>
      </c>
      <c r="K68" s="32"/>
      <c r="L68" s="83">
        <f>H68*1.08*0.9</f>
        <v>2542414.6188000003</v>
      </c>
      <c r="M68" s="83">
        <f>E68*1.08*0.9</f>
        <v>292904.91000000003</v>
      </c>
      <c r="N68" s="83">
        <f t="shared" ref="N68:O69" si="5">F68*1.08*0.9</f>
        <v>1405943.568</v>
      </c>
      <c r="O68" s="83">
        <f t="shared" si="5"/>
        <v>843566.14080000005</v>
      </c>
      <c r="X68" s="32">
        <f>H68*1%</f>
        <v>26156.528999999999</v>
      </c>
    </row>
    <row r="69" spans="3:24" x14ac:dyDescent="0.25">
      <c r="D69" s="52" t="s">
        <v>74</v>
      </c>
      <c r="E69" s="54">
        <f>($G$52+$G$40)/12*3</f>
        <v>38937.5</v>
      </c>
      <c r="F69" s="54">
        <f>($G$52+$G$40)/12*12*120%</f>
        <v>186900</v>
      </c>
      <c r="G69" s="54">
        <f>($G$52+$G$40)/12*6*120%*120%</f>
        <v>112140</v>
      </c>
      <c r="H69" s="55">
        <f t="shared" ref="H69:H70" si="6">SUM(E69:G69)</f>
        <v>337977.5</v>
      </c>
      <c r="I69" s="56">
        <f t="shared" ref="I69:I71" si="7">H69/$G$59</f>
        <v>79164.617150352511</v>
      </c>
      <c r="J69" s="52" t="s">
        <v>25</v>
      </c>
      <c r="K69" s="32"/>
      <c r="L69" s="83">
        <f t="shared" ref="L69:L70" si="8">H69*1.08*0.9</f>
        <v>328514.13</v>
      </c>
      <c r="M69" s="83">
        <f>E69*1.08*0.9</f>
        <v>37847.25</v>
      </c>
      <c r="N69" s="83">
        <f t="shared" si="5"/>
        <v>181666.80000000002</v>
      </c>
      <c r="O69" s="83">
        <f t="shared" si="5"/>
        <v>109000.08000000002</v>
      </c>
      <c r="X69" s="32">
        <f>H69*3%</f>
        <v>10139.324999999999</v>
      </c>
    </row>
    <row r="70" spans="3:24" x14ac:dyDescent="0.25">
      <c r="D70" s="52" t="s">
        <v>55</v>
      </c>
      <c r="E70" s="55">
        <f>SUM(E68:E69)</f>
        <v>340280</v>
      </c>
      <c r="F70" s="55">
        <f t="shared" ref="F70:G70" si="9">SUM(F68:F69)</f>
        <v>1633344</v>
      </c>
      <c r="G70" s="55">
        <f t="shared" si="9"/>
        <v>980006.40000000002</v>
      </c>
      <c r="H70" s="55">
        <f t="shared" si="6"/>
        <v>2953630.4</v>
      </c>
      <c r="I70" s="56">
        <f t="shared" si="7"/>
        <v>691830.13608788315</v>
      </c>
      <c r="J70" s="58" t="s">
        <v>25</v>
      </c>
      <c r="K70" s="32"/>
      <c r="L70" s="84">
        <f t="shared" si="8"/>
        <v>2870928.7488000002</v>
      </c>
      <c r="M70" s="84">
        <f>SUM(M68:M69)</f>
        <v>330752.16000000003</v>
      </c>
      <c r="N70" s="84">
        <f t="shared" ref="N70:O70" si="10">SUM(N68:N69)</f>
        <v>1587610.368</v>
      </c>
      <c r="O70" s="84">
        <f t="shared" si="10"/>
        <v>952566.22080000001</v>
      </c>
    </row>
    <row r="71" spans="3:24" x14ac:dyDescent="0.25">
      <c r="D71" s="61" t="s">
        <v>79</v>
      </c>
      <c r="E71" s="1"/>
      <c r="F71" s="1"/>
      <c r="G71" s="1"/>
      <c r="H71" s="59">
        <f>H70*0.5</f>
        <v>1476815.2</v>
      </c>
      <c r="I71" s="56">
        <f t="shared" si="7"/>
        <v>345915.06804394157</v>
      </c>
    </row>
    <row r="72" spans="3:24" x14ac:dyDescent="0.25">
      <c r="D72" s="61" t="s">
        <v>80</v>
      </c>
      <c r="E72" s="1"/>
      <c r="F72" s="1"/>
      <c r="G72" s="1"/>
      <c r="H72" s="55">
        <f>H71+H70</f>
        <v>4430445.5999999996</v>
      </c>
      <c r="I72" s="55">
        <f>I71+I70</f>
        <v>1037745.2041318247</v>
      </c>
    </row>
    <row r="73" spans="3:24" x14ac:dyDescent="0.25">
      <c r="D73" s="57"/>
      <c r="H73" s="60"/>
      <c r="I73" s="60"/>
    </row>
    <row r="74" spans="3:24" x14ac:dyDescent="0.25">
      <c r="C74" s="36"/>
      <c r="D74" s="35" t="s">
        <v>58</v>
      </c>
      <c r="E74" s="36"/>
      <c r="F74" s="36"/>
      <c r="G74" s="36"/>
      <c r="H74" s="82">
        <f>H70*1%</f>
        <v>29536.304</v>
      </c>
    </row>
    <row r="75" spans="3:24" x14ac:dyDescent="0.25">
      <c r="C75" s="36"/>
      <c r="D75" s="36"/>
      <c r="E75" s="36"/>
      <c r="F75" s="36"/>
      <c r="G75" s="36"/>
      <c r="H75" s="36"/>
      <c r="L75" s="85" t="s">
        <v>59</v>
      </c>
      <c r="M75" s="41"/>
      <c r="N75" s="41"/>
      <c r="O75" s="38"/>
      <c r="P75" s="41" t="s">
        <v>65</v>
      </c>
    </row>
    <row r="76" spans="3:24" x14ac:dyDescent="0.25">
      <c r="C76" s="27" t="str">
        <f t="shared" ref="C76:D87" si="11">C26</f>
        <v>kod/kody</v>
      </c>
      <c r="D76" s="27" t="str">
        <f t="shared" si="11"/>
        <v xml:space="preserve">Zagospodarowanie odpadów odebranych z nieruchomości zamieszkałych </v>
      </c>
      <c r="E76" s="27">
        <v>2020</v>
      </c>
      <c r="F76" s="27">
        <v>2021</v>
      </c>
      <c r="G76" s="27">
        <v>2022</v>
      </c>
      <c r="H76" s="27">
        <v>2023</v>
      </c>
      <c r="L76" s="41" t="s">
        <v>63</v>
      </c>
      <c r="M76" s="41" t="s">
        <v>64</v>
      </c>
      <c r="N76" s="41"/>
      <c r="O76" s="38"/>
      <c r="P76" s="41"/>
    </row>
    <row r="77" spans="3:24" x14ac:dyDescent="0.25">
      <c r="C77" s="27" t="str">
        <f t="shared" si="11"/>
        <v xml:space="preserve">20 03 01 </v>
      </c>
      <c r="D77" s="27" t="str">
        <f t="shared" si="11"/>
        <v>niesegregowane (zmieszane) odpady komunalne</v>
      </c>
      <c r="E77" s="37">
        <f t="shared" ref="E77:E82" si="12">ROUND(E27/12*3,0)</f>
        <v>500</v>
      </c>
      <c r="F77" s="37">
        <f t="shared" ref="F77:F82" si="13">ROUND(E27*103%,0)</f>
        <v>2060</v>
      </c>
      <c r="G77" s="37">
        <f>ROUND(F77*103%,0)/2</f>
        <v>1061</v>
      </c>
      <c r="H77" s="37">
        <f>ROUND(G77*103%,0)</f>
        <v>1093</v>
      </c>
      <c r="L77" s="40">
        <v>7.4999999999999997E-2</v>
      </c>
      <c r="M77" s="44">
        <f>L77*F77</f>
        <v>154.5</v>
      </c>
      <c r="N77" s="41"/>
      <c r="O77" s="38"/>
      <c r="P77" s="44">
        <f>F77*1%*260</f>
        <v>5356</v>
      </c>
    </row>
    <row r="78" spans="3:24" x14ac:dyDescent="0.25">
      <c r="C78" s="27" t="str">
        <f t="shared" si="11"/>
        <v>20 02 01  i 20 01 08</v>
      </c>
      <c r="D78" s="27" t="str">
        <f t="shared" si="11"/>
        <v>BIO (odpady zielone i kuchenne)</v>
      </c>
      <c r="E78" s="37">
        <f t="shared" si="12"/>
        <v>210</v>
      </c>
      <c r="F78" s="37">
        <f t="shared" si="13"/>
        <v>865</v>
      </c>
      <c r="G78" s="37">
        <f t="shared" ref="G78:G87" si="14">ROUND(F78*103%,0)/2</f>
        <v>445.5</v>
      </c>
      <c r="H78" s="37">
        <f t="shared" ref="H78" si="15">ROUND(G78*103%,0)</f>
        <v>459</v>
      </c>
      <c r="L78" s="40">
        <v>0.98</v>
      </c>
      <c r="M78" s="44">
        <f t="shared" ref="M78:M87" si="16">L78*F78</f>
        <v>847.69999999999993</v>
      </c>
      <c r="N78" s="41"/>
      <c r="O78" s="38"/>
      <c r="P78" s="44">
        <f t="shared" ref="P78:P87" si="17">F78*1%*260</f>
        <v>2249</v>
      </c>
    </row>
    <row r="79" spans="3:24" x14ac:dyDescent="0.25">
      <c r="C79" s="27" t="str">
        <f t="shared" si="11"/>
        <v>15 01 06</v>
      </c>
      <c r="D79" s="27" t="str">
        <f t="shared" si="11"/>
        <v>zmieszane odpady opakowaniowe (tworzywa sztuczne, metale, opakowania wielomateriałowe)</v>
      </c>
      <c r="E79" s="37">
        <f t="shared" si="12"/>
        <v>225</v>
      </c>
      <c r="F79" s="37">
        <f t="shared" si="13"/>
        <v>927</v>
      </c>
      <c r="G79" s="37">
        <f t="shared" si="14"/>
        <v>477.5</v>
      </c>
      <c r="H79" s="37">
        <f t="shared" ref="H79" si="18">ROUND(G79*103%,0)</f>
        <v>492</v>
      </c>
      <c r="L79" s="40">
        <v>0.8</v>
      </c>
      <c r="M79" s="44">
        <f t="shared" si="16"/>
        <v>741.6</v>
      </c>
      <c r="N79" s="41"/>
      <c r="O79" s="38"/>
      <c r="P79" s="44">
        <f t="shared" si="17"/>
        <v>2410.1999999999998</v>
      </c>
    </row>
    <row r="80" spans="3:24" x14ac:dyDescent="0.25">
      <c r="C80" s="27" t="str">
        <f t="shared" si="11"/>
        <v>15 01 01 i 20 01 01</v>
      </c>
      <c r="D80" s="27" t="str">
        <f t="shared" si="11"/>
        <v>papier i tektura</v>
      </c>
      <c r="E80" s="37">
        <f t="shared" si="12"/>
        <v>25</v>
      </c>
      <c r="F80" s="37">
        <f t="shared" si="13"/>
        <v>103</v>
      </c>
      <c r="G80" s="37">
        <f t="shared" si="14"/>
        <v>53</v>
      </c>
      <c r="H80" s="37">
        <f t="shared" ref="H80" si="19">ROUND(G80*103%,0)</f>
        <v>55</v>
      </c>
      <c r="L80" s="40">
        <v>0.9</v>
      </c>
      <c r="M80" s="44">
        <f t="shared" si="16"/>
        <v>92.7</v>
      </c>
      <c r="N80" s="41"/>
      <c r="O80" s="38"/>
      <c r="P80" s="41">
        <f t="shared" si="17"/>
        <v>267.8</v>
      </c>
    </row>
    <row r="81" spans="3:17" x14ac:dyDescent="0.25">
      <c r="C81" s="27" t="str">
        <f t="shared" si="11"/>
        <v>15 01 07 i 20 01 02</v>
      </c>
      <c r="D81" s="27" t="str">
        <f t="shared" si="11"/>
        <v>szkło</v>
      </c>
      <c r="E81" s="37">
        <f t="shared" si="12"/>
        <v>63</v>
      </c>
      <c r="F81" s="37">
        <f t="shared" si="13"/>
        <v>258</v>
      </c>
      <c r="G81" s="37">
        <f t="shared" si="14"/>
        <v>133</v>
      </c>
      <c r="H81" s="37">
        <f t="shared" ref="H81" si="20">ROUND(G81*103%,0)</f>
        <v>137</v>
      </c>
      <c r="L81" s="40">
        <v>0.98</v>
      </c>
      <c r="M81" s="44">
        <f t="shared" si="16"/>
        <v>252.84</v>
      </c>
      <c r="N81" s="41"/>
      <c r="O81" s="38"/>
      <c r="P81" s="41">
        <f t="shared" si="17"/>
        <v>670.80000000000007</v>
      </c>
    </row>
    <row r="82" spans="3:17" x14ac:dyDescent="0.25">
      <c r="C82" s="27" t="str">
        <f t="shared" si="11"/>
        <v>20 03 07</v>
      </c>
      <c r="D82" s="27" t="str">
        <f t="shared" si="11"/>
        <v xml:space="preserve">odpady wielkogabarytowe (wystawki) </v>
      </c>
      <c r="E82" s="37">
        <f t="shared" si="12"/>
        <v>5</v>
      </c>
      <c r="F82" s="37">
        <f t="shared" si="13"/>
        <v>21</v>
      </c>
      <c r="G82" s="37">
        <f t="shared" si="14"/>
        <v>11</v>
      </c>
      <c r="H82" s="37">
        <f t="shared" ref="H82" si="21">ROUND(G82*103%,0)</f>
        <v>11</v>
      </c>
      <c r="L82" s="40">
        <v>0.5</v>
      </c>
      <c r="M82" s="44">
        <f t="shared" si="16"/>
        <v>10.5</v>
      </c>
      <c r="N82" s="41"/>
      <c r="O82" s="38"/>
      <c r="P82" s="41">
        <f t="shared" si="17"/>
        <v>54.6</v>
      </c>
    </row>
    <row r="83" spans="3:17" x14ac:dyDescent="0.25">
      <c r="C83" s="27" t="str">
        <f t="shared" si="11"/>
        <v>20 01 35* i 20 01 36 i 20 01 23*</v>
      </c>
      <c r="D83" s="27" t="str">
        <f t="shared" si="11"/>
        <v xml:space="preserve">odpady zużytego sprzętu elektrycznego i elektronicznego (wystawki) </v>
      </c>
      <c r="E83" s="37">
        <f>ROUND(E33/12*3,3)</f>
        <v>0.5</v>
      </c>
      <c r="F83" s="37">
        <f>ROUND(E33*103%,2)</f>
        <v>2.06</v>
      </c>
      <c r="G83" s="37">
        <f t="shared" si="14"/>
        <v>1</v>
      </c>
      <c r="H83" s="37">
        <f>ROUND(G83*103%,2)</f>
        <v>1.03</v>
      </c>
      <c r="L83" s="40">
        <v>1</v>
      </c>
      <c r="M83" s="44">
        <f t="shared" si="16"/>
        <v>2.06</v>
      </c>
      <c r="N83" s="41"/>
      <c r="O83" s="38"/>
      <c r="P83" s="41">
        <f t="shared" si="17"/>
        <v>5.3559999999999999</v>
      </c>
    </row>
    <row r="84" spans="3:17" x14ac:dyDescent="0.25">
      <c r="C84" s="27" t="str">
        <f t="shared" si="11"/>
        <v>20 01 33* i 20 01 34</v>
      </c>
      <c r="D84" s="27" t="str">
        <f t="shared" si="11"/>
        <v xml:space="preserve">zużyte baterie i akumulatory (zbiórka objazdowa) </v>
      </c>
      <c r="E84" s="37">
        <f>ROUND(E34/12*3,3)</f>
        <v>1.2999999999999999E-2</v>
      </c>
      <c r="F84" s="37">
        <f>ROUND(E34*103%,2)</f>
        <v>0.05</v>
      </c>
      <c r="G84" s="37">
        <f t="shared" si="14"/>
        <v>0</v>
      </c>
      <c r="H84" s="37">
        <f t="shared" ref="H84" si="22">ROUND(G84*103%,2)</f>
        <v>0</v>
      </c>
      <c r="L84" s="40">
        <v>1</v>
      </c>
      <c r="M84" s="44">
        <f t="shared" si="16"/>
        <v>0.05</v>
      </c>
      <c r="N84" s="41"/>
      <c r="O84" s="38"/>
      <c r="P84" s="41">
        <f t="shared" si="17"/>
        <v>0.13</v>
      </c>
    </row>
    <row r="85" spans="3:17" x14ac:dyDescent="0.25">
      <c r="C85" s="27" t="str">
        <f t="shared" si="11"/>
        <v>20 01 13* - 20 01 19*</v>
      </c>
      <c r="D85" s="27" t="str">
        <f t="shared" si="11"/>
        <v xml:space="preserve">chemikalia (zbiórka objazdowa) </v>
      </c>
      <c r="E85" s="37">
        <f>ROUND(E35/12*3,3)</f>
        <v>3.0000000000000001E-3</v>
      </c>
      <c r="F85" s="37">
        <f>ROUND(E35*103%,2)</f>
        <v>0.01</v>
      </c>
      <c r="G85" s="37">
        <f t="shared" si="14"/>
        <v>0</v>
      </c>
      <c r="H85" s="37">
        <f t="shared" ref="H85" si="23">ROUND(G85*103%,2)</f>
        <v>0</v>
      </c>
      <c r="K85" t="s">
        <v>60</v>
      </c>
      <c r="L85" s="40">
        <v>0</v>
      </c>
      <c r="M85" s="44">
        <f t="shared" si="16"/>
        <v>0</v>
      </c>
      <c r="N85" s="41"/>
      <c r="O85" s="38"/>
      <c r="P85" s="41">
        <f t="shared" si="17"/>
        <v>2.6000000000000002E-2</v>
      </c>
    </row>
    <row r="86" spans="3:17" x14ac:dyDescent="0.25">
      <c r="C86" s="27" t="str">
        <f t="shared" si="11"/>
        <v>20 01 31* i 20 01 32</v>
      </c>
      <c r="D86" s="27" t="str">
        <f t="shared" si="11"/>
        <v xml:space="preserve">przeterminowane leki (zbiórka objazdowa) </v>
      </c>
      <c r="E86" s="37">
        <f>ROUND(E36/12*3,3)</f>
        <v>3.0000000000000001E-3</v>
      </c>
      <c r="F86" s="37">
        <f>ROUND(E36*103%,2)</f>
        <v>0.01</v>
      </c>
      <c r="G86" s="37">
        <f t="shared" si="14"/>
        <v>0</v>
      </c>
      <c r="H86" s="37">
        <f t="shared" ref="H86" si="24">ROUND(G86*103%,2)</f>
        <v>0</v>
      </c>
      <c r="K86" t="s">
        <v>60</v>
      </c>
      <c r="L86" s="40">
        <v>0</v>
      </c>
      <c r="M86" s="44">
        <f t="shared" si="16"/>
        <v>0</v>
      </c>
      <c r="N86" s="41"/>
      <c r="O86" s="38"/>
      <c r="P86" s="41">
        <f t="shared" si="17"/>
        <v>2.6000000000000002E-2</v>
      </c>
    </row>
    <row r="87" spans="3:17" x14ac:dyDescent="0.25">
      <c r="C87" s="27" t="str">
        <f t="shared" si="11"/>
        <v>16 01 03</v>
      </c>
      <c r="D87" s="27" t="str">
        <f t="shared" si="11"/>
        <v>zuzyte opony (wystawki)</v>
      </c>
      <c r="E87" s="37">
        <f>ROUND(E37/12*3,3)</f>
        <v>1</v>
      </c>
      <c r="F87" s="37">
        <f>ROUND(E37*103%,2)</f>
        <v>4.12</v>
      </c>
      <c r="G87" s="37">
        <f t="shared" si="14"/>
        <v>2</v>
      </c>
      <c r="H87" s="37">
        <f t="shared" ref="H87" si="25">ROUND(G87*103%,2)</f>
        <v>2.06</v>
      </c>
      <c r="L87" s="40">
        <v>1</v>
      </c>
      <c r="M87" s="44">
        <f t="shared" si="16"/>
        <v>4.12</v>
      </c>
      <c r="N87" s="41"/>
      <c r="O87" s="38"/>
      <c r="P87" s="41">
        <f t="shared" si="17"/>
        <v>10.712</v>
      </c>
    </row>
    <row r="88" spans="3:17" x14ac:dyDescent="0.25">
      <c r="C88" s="36"/>
      <c r="D88" s="36"/>
      <c r="E88" s="36"/>
      <c r="F88" s="36"/>
      <c r="G88" s="36"/>
      <c r="H88" s="36"/>
      <c r="L88" s="1"/>
      <c r="M88" s="1"/>
      <c r="N88" s="1"/>
    </row>
    <row r="89" spans="3:17" x14ac:dyDescent="0.25">
      <c r="C89" s="36"/>
      <c r="D89" s="36"/>
      <c r="E89" s="36"/>
      <c r="F89" s="36"/>
      <c r="G89" s="36"/>
      <c r="H89" s="36"/>
      <c r="L89" s="1"/>
      <c r="M89" s="1"/>
      <c r="N89" s="1"/>
    </row>
    <row r="90" spans="3:17" x14ac:dyDescent="0.25">
      <c r="C90" s="36"/>
      <c r="D90" s="36"/>
      <c r="E90" s="36"/>
      <c r="F90" s="36"/>
      <c r="G90" s="36"/>
      <c r="H90" s="36"/>
      <c r="L90" s="1"/>
      <c r="M90" s="1"/>
      <c r="N90" s="1"/>
    </row>
    <row r="91" spans="3:17" x14ac:dyDescent="0.25">
      <c r="C91" s="36"/>
      <c r="D91" s="36"/>
      <c r="E91" s="36"/>
      <c r="F91" s="36"/>
      <c r="G91" s="36"/>
      <c r="H91" s="36"/>
      <c r="L91" s="1"/>
      <c r="M91" s="1"/>
      <c r="N91" s="1"/>
    </row>
    <row r="92" spans="3:17" x14ac:dyDescent="0.25">
      <c r="C92" s="27" t="str">
        <f t="shared" ref="C92:D101" si="26">C42</f>
        <v>kod/kody</v>
      </c>
      <c r="D92" s="27" t="str">
        <f t="shared" si="26"/>
        <v xml:space="preserve">PSZOK zagospodarowanie </v>
      </c>
      <c r="E92" s="27">
        <v>2020</v>
      </c>
      <c r="F92" s="27">
        <v>2021</v>
      </c>
      <c r="G92" s="27">
        <v>2022</v>
      </c>
      <c r="H92" s="27">
        <v>2023</v>
      </c>
      <c r="L92" s="1"/>
      <c r="M92" s="1"/>
      <c r="N92" s="1"/>
    </row>
    <row r="93" spans="3:17" x14ac:dyDescent="0.25">
      <c r="C93" s="27" t="str">
        <f t="shared" si="26"/>
        <v>17 09 04</v>
      </c>
      <c r="D93" s="27" t="str">
        <f t="shared" si="26"/>
        <v xml:space="preserve"> Zmieszane odpady z budowy, remontów i demontażu inne niż wymienione w 17 09 01, 17 09 02 i 17 09 03</v>
      </c>
      <c r="E93" s="37">
        <f>ROUND(E43/12*3,0)</f>
        <v>11</v>
      </c>
      <c r="F93" s="37">
        <f>ROUND(E43*103%,0)</f>
        <v>46</v>
      </c>
      <c r="G93" s="37">
        <f>ROUND(F93*103%,0)</f>
        <v>47</v>
      </c>
      <c r="H93" s="37">
        <f>ROUND(G93*103%,0)</f>
        <v>48</v>
      </c>
      <c r="L93" s="40">
        <v>0.7</v>
      </c>
      <c r="M93" s="41">
        <f>L93*F93</f>
        <v>32.199999999999996</v>
      </c>
      <c r="N93" s="1"/>
      <c r="P93" s="49">
        <f>F93*1%*260</f>
        <v>119.60000000000001</v>
      </c>
    </row>
    <row r="94" spans="3:17" x14ac:dyDescent="0.25">
      <c r="C94" s="27" t="str">
        <f t="shared" si="26"/>
        <v>20 03 07</v>
      </c>
      <c r="D94" s="27" t="str">
        <f t="shared" si="26"/>
        <v>Odpady wielkogabarytowe</v>
      </c>
      <c r="E94" s="37">
        <f>ROUND(E44/12*3,0)</f>
        <v>8</v>
      </c>
      <c r="F94" s="37">
        <f>ROUND(E44*103%,0)</f>
        <v>31</v>
      </c>
      <c r="G94" s="37">
        <f t="shared" ref="G94:H94" si="27">ROUND(F94*103%,0)</f>
        <v>32</v>
      </c>
      <c r="H94" s="37">
        <f t="shared" si="27"/>
        <v>33</v>
      </c>
      <c r="L94" s="39">
        <v>0.5</v>
      </c>
      <c r="M94" s="1">
        <f t="shared" ref="M94:M102" si="28">L94*F94</f>
        <v>15.5</v>
      </c>
      <c r="N94" s="1"/>
      <c r="P94" s="49">
        <f t="shared" ref="P94:P102" si="29">F94*1%*260</f>
        <v>80.599999999999994</v>
      </c>
    </row>
    <row r="95" spans="3:17" x14ac:dyDescent="0.25">
      <c r="C95" s="27" t="str">
        <f t="shared" si="26"/>
        <v>20 01 35*</v>
      </c>
      <c r="D95" s="27" t="str">
        <f t="shared" si="26"/>
        <v>zuzyte urządzenia elektryczne i elektroniczne inne niż wymienione w 20 01 21 i 20 01 23 zawierające niebezpieczne składniki (1)</v>
      </c>
      <c r="E95" s="37">
        <f t="shared" ref="E95:E101" si="30">ROUND(E45/12*3,3)</f>
        <v>0.5</v>
      </c>
      <c r="F95" s="37">
        <f t="shared" ref="F95:F101" si="31">ROUND(E45*103%,2)</f>
        <v>2.06</v>
      </c>
      <c r="G95" s="37">
        <f t="shared" ref="G95:H95" si="32">ROUND(F95*103%,2)</f>
        <v>2.12</v>
      </c>
      <c r="H95" s="37">
        <f t="shared" si="32"/>
        <v>2.1800000000000002</v>
      </c>
      <c r="L95" s="39">
        <v>1</v>
      </c>
      <c r="M95" s="1">
        <f t="shared" si="28"/>
        <v>2.06</v>
      </c>
      <c r="N95" s="1"/>
      <c r="P95" s="49">
        <f t="shared" si="29"/>
        <v>5.3559999999999999</v>
      </c>
    </row>
    <row r="96" spans="3:17" x14ac:dyDescent="0.25">
      <c r="C96" s="27" t="str">
        <f t="shared" si="26"/>
        <v>20 01 36</v>
      </c>
      <c r="D96" s="27" t="str">
        <f t="shared" si="26"/>
        <v>zużyte urządzenia elektryczne i i elektroniczne inne niż wymienione w 20 01 21, 20 01 23 i 20 01 35</v>
      </c>
      <c r="E96" s="37">
        <f t="shared" si="30"/>
        <v>0.25</v>
      </c>
      <c r="F96" s="37">
        <f t="shared" si="31"/>
        <v>1.03</v>
      </c>
      <c r="G96" s="37">
        <f t="shared" ref="G96:H96" si="33">ROUND(F96*103%,2)</f>
        <v>1.06</v>
      </c>
      <c r="H96" s="37">
        <f t="shared" si="33"/>
        <v>1.0900000000000001</v>
      </c>
      <c r="L96" s="39">
        <v>1</v>
      </c>
      <c r="M96" s="1">
        <f t="shared" si="28"/>
        <v>1.03</v>
      </c>
      <c r="N96" s="1"/>
      <c r="P96" s="49">
        <f t="shared" si="29"/>
        <v>2.6779999999999999</v>
      </c>
      <c r="Q96">
        <f>200*270</f>
        <v>54000</v>
      </c>
    </row>
    <row r="97" spans="3:16" x14ac:dyDescent="0.25">
      <c r="C97" s="27" t="str">
        <f t="shared" si="26"/>
        <v>20 01 32</v>
      </c>
      <c r="D97" s="27" t="str">
        <f t="shared" si="26"/>
        <v xml:space="preserve"> Leki inne niż wymienione w 20 01 31</v>
      </c>
      <c r="E97" s="37">
        <f t="shared" si="30"/>
        <v>2.5000000000000001E-2</v>
      </c>
      <c r="F97" s="37">
        <f t="shared" si="31"/>
        <v>0.1</v>
      </c>
      <c r="G97" s="37">
        <f t="shared" ref="G97:H97" si="34">ROUND(F97*103%,2)</f>
        <v>0.1</v>
      </c>
      <c r="H97" s="37">
        <f t="shared" si="34"/>
        <v>0.1</v>
      </c>
      <c r="L97" s="39">
        <v>0</v>
      </c>
      <c r="M97" s="1">
        <f t="shared" si="28"/>
        <v>0</v>
      </c>
      <c r="N97" s="1"/>
      <c r="P97" s="49">
        <f t="shared" si="29"/>
        <v>0.26</v>
      </c>
    </row>
    <row r="98" spans="3:16" x14ac:dyDescent="0.25">
      <c r="C98" s="27" t="str">
        <f t="shared" si="26"/>
        <v>21 01 23*</v>
      </c>
      <c r="D98" s="27" t="str">
        <f t="shared" si="26"/>
        <v xml:space="preserve"> Urządzenia zawierające freony</v>
      </c>
      <c r="E98" s="37">
        <f t="shared" si="30"/>
        <v>0.25</v>
      </c>
      <c r="F98" s="37">
        <f t="shared" si="31"/>
        <v>1.03</v>
      </c>
      <c r="G98" s="37">
        <f t="shared" ref="G98:H98" si="35">ROUND(F98*103%,2)</f>
        <v>1.06</v>
      </c>
      <c r="H98" s="37">
        <f t="shared" si="35"/>
        <v>1.0900000000000001</v>
      </c>
      <c r="L98" s="39">
        <v>1</v>
      </c>
      <c r="M98" s="1">
        <f t="shared" si="28"/>
        <v>1.03</v>
      </c>
      <c r="N98" s="1"/>
      <c r="P98" s="49">
        <f t="shared" si="29"/>
        <v>2.6779999999999999</v>
      </c>
    </row>
    <row r="99" spans="3:16" x14ac:dyDescent="0.25">
      <c r="C99" s="27" t="str">
        <f t="shared" si="26"/>
        <v>16 01 03</v>
      </c>
      <c r="D99" s="27" t="str">
        <f t="shared" si="26"/>
        <v>zużyte opony</v>
      </c>
      <c r="E99" s="37">
        <f t="shared" si="30"/>
        <v>0.625</v>
      </c>
      <c r="F99" s="37">
        <f t="shared" si="31"/>
        <v>2.58</v>
      </c>
      <c r="G99" s="37">
        <f>ROUND(F99*103%,2)</f>
        <v>2.66</v>
      </c>
      <c r="H99" s="37">
        <f>ROUND(G99*103%,2)</f>
        <v>2.74</v>
      </c>
      <c r="L99" s="39">
        <v>1</v>
      </c>
      <c r="M99" s="1">
        <f t="shared" si="28"/>
        <v>2.58</v>
      </c>
      <c r="N99" s="1"/>
      <c r="P99" s="49">
        <f t="shared" si="29"/>
        <v>6.7080000000000002</v>
      </c>
    </row>
    <row r="100" spans="3:16" x14ac:dyDescent="0.25">
      <c r="C100" s="27" t="str">
        <f t="shared" si="26"/>
        <v>15 01 10*</v>
      </c>
      <c r="D100" s="27" t="str">
        <f t="shared" si="26"/>
        <v>Opakowania zawierające pozostałości substancji niebezpiecznych lub nimi zanieczyszczone (np. środkami ochrony roślin I i II klasy toksyczności - bardzo toksyczne i toksyczne</v>
      </c>
      <c r="E100" s="37">
        <f t="shared" si="30"/>
        <v>2.5000000000000001E-2</v>
      </c>
      <c r="F100" s="37">
        <f t="shared" si="31"/>
        <v>0.1</v>
      </c>
      <c r="G100" s="37">
        <f t="shared" ref="G100:H100" si="36">ROUND(F100*103%,2)</f>
        <v>0.1</v>
      </c>
      <c r="H100" s="37">
        <f t="shared" si="36"/>
        <v>0.1</v>
      </c>
      <c r="L100" s="39">
        <v>0</v>
      </c>
      <c r="M100" s="1">
        <f t="shared" si="28"/>
        <v>0</v>
      </c>
      <c r="N100" s="1"/>
      <c r="P100" s="49">
        <f t="shared" si="29"/>
        <v>0.26</v>
      </c>
    </row>
    <row r="101" spans="3:16" x14ac:dyDescent="0.25">
      <c r="C101" s="27" t="str">
        <f t="shared" si="26"/>
        <v>20 02 01</v>
      </c>
      <c r="D101" s="27" t="str">
        <f t="shared" si="26"/>
        <v>Odpady ulegające biodegradacji</v>
      </c>
      <c r="E101" s="27">
        <f t="shared" si="30"/>
        <v>2.5</v>
      </c>
      <c r="F101" s="27">
        <f t="shared" si="31"/>
        <v>10.3</v>
      </c>
      <c r="G101" s="27">
        <f t="shared" ref="G101:H101" si="37">ROUND(F101*103%,2)</f>
        <v>10.61</v>
      </c>
      <c r="H101" s="27">
        <f t="shared" si="37"/>
        <v>10.93</v>
      </c>
      <c r="L101" s="39">
        <v>0.98</v>
      </c>
      <c r="M101" s="1">
        <f>L101*F101</f>
        <v>10.094000000000001</v>
      </c>
      <c r="N101" s="1"/>
      <c r="P101" s="49">
        <f t="shared" si="29"/>
        <v>26.78</v>
      </c>
    </row>
    <row r="102" spans="3:16" x14ac:dyDescent="0.25">
      <c r="C102" s="27">
        <v>15.2</v>
      </c>
      <c r="D102" s="27" t="s">
        <v>73</v>
      </c>
      <c r="E102" s="37">
        <v>10</v>
      </c>
      <c r="F102" s="37">
        <v>20</v>
      </c>
      <c r="G102" s="37">
        <v>20</v>
      </c>
      <c r="H102" s="37">
        <v>40</v>
      </c>
      <c r="L102" s="39">
        <v>0.8</v>
      </c>
      <c r="M102" s="1">
        <f t="shared" si="28"/>
        <v>16</v>
      </c>
      <c r="N102" s="1"/>
      <c r="P102" s="49">
        <f t="shared" si="29"/>
        <v>52</v>
      </c>
    </row>
    <row r="103" spans="3:16" ht="30" x14ac:dyDescent="0.25">
      <c r="L103" s="42" t="s">
        <v>61</v>
      </c>
      <c r="M103" s="42">
        <f>SUM(M77:M87,M94:M101)</f>
        <v>2138.3640000000005</v>
      </c>
      <c r="N103" s="43">
        <f>M103/SUM(F77:F87,F94:F101)</f>
        <v>0.498633305739836</v>
      </c>
      <c r="P103" s="41"/>
    </row>
    <row r="104" spans="3:16" ht="30" x14ac:dyDescent="0.25">
      <c r="H104" s="25">
        <f>SUM(F77:F87,F93:F101)</f>
        <v>4334.4500000000016</v>
      </c>
      <c r="L104" s="42" t="s">
        <v>62</v>
      </c>
      <c r="M104" s="42">
        <f>M93</f>
        <v>32.199999999999996</v>
      </c>
      <c r="N104" s="43">
        <f>M93/F93</f>
        <v>0.7</v>
      </c>
    </row>
    <row r="106" spans="3:16" x14ac:dyDescent="0.25">
      <c r="H106">
        <v>4000</v>
      </c>
    </row>
    <row r="108" spans="3:16" x14ac:dyDescent="0.25">
      <c r="H108">
        <v>2000</v>
      </c>
    </row>
    <row r="110" spans="3:16" x14ac:dyDescent="0.25">
      <c r="H110">
        <v>1500</v>
      </c>
    </row>
    <row r="111" spans="3:16" x14ac:dyDescent="0.25">
      <c r="H111">
        <f>500</f>
        <v>500</v>
      </c>
      <c r="I111">
        <f>270</f>
        <v>270</v>
      </c>
      <c r="J111">
        <f>H111*I111</f>
        <v>135000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9"/>
  <sheetViews>
    <sheetView workbookViewId="0">
      <selection activeCell="F19" sqref="F19"/>
    </sheetView>
  </sheetViews>
  <sheetFormatPr defaultRowHeight="15" x14ac:dyDescent="0.25"/>
  <cols>
    <col min="3" max="3" width="46.85546875" customWidth="1"/>
  </cols>
  <sheetData>
    <row r="2" spans="2:14" x14ac:dyDescent="0.25">
      <c r="B2" s="64" t="s">
        <v>85</v>
      </c>
    </row>
    <row r="3" spans="2:14" x14ac:dyDescent="0.25">
      <c r="B3" s="65" t="s">
        <v>81</v>
      </c>
    </row>
    <row r="4" spans="2:14" x14ac:dyDescent="0.25">
      <c r="B4" s="65" t="s">
        <v>84</v>
      </c>
    </row>
    <row r="5" spans="2:14" x14ac:dyDescent="0.25">
      <c r="B5" s="65" t="s">
        <v>82</v>
      </c>
    </row>
    <row r="6" spans="2:14" x14ac:dyDescent="0.25">
      <c r="B6" s="65" t="s">
        <v>83</v>
      </c>
    </row>
    <row r="7" spans="2:14" x14ac:dyDescent="0.25">
      <c r="B7" s="65"/>
    </row>
    <row r="8" spans="2:14" ht="51" x14ac:dyDescent="0.25">
      <c r="B8" s="67" t="s">
        <v>44</v>
      </c>
      <c r="C8" s="67" t="s">
        <v>88</v>
      </c>
      <c r="D8" s="70" t="s">
        <v>139</v>
      </c>
      <c r="E8" s="70" t="s">
        <v>140</v>
      </c>
      <c r="F8" s="70" t="s">
        <v>141</v>
      </c>
      <c r="G8" s="70" t="s">
        <v>99</v>
      </c>
      <c r="H8" s="70" t="s">
        <v>100</v>
      </c>
      <c r="I8" s="70" t="s">
        <v>101</v>
      </c>
      <c r="J8" s="70" t="s">
        <v>102</v>
      </c>
      <c r="K8" s="70" t="s">
        <v>103</v>
      </c>
      <c r="L8" s="70" t="s">
        <v>104</v>
      </c>
      <c r="M8" s="70" t="s">
        <v>105</v>
      </c>
      <c r="N8" s="66"/>
    </row>
    <row r="9" spans="2:14" x14ac:dyDescent="0.25">
      <c r="B9" s="68" t="s">
        <v>26</v>
      </c>
      <c r="C9" s="68" t="s">
        <v>89</v>
      </c>
      <c r="D9" s="79">
        <v>500</v>
      </c>
      <c r="E9" s="79">
        <v>2060</v>
      </c>
      <c r="F9" s="79">
        <v>1061</v>
      </c>
      <c r="G9" s="71"/>
      <c r="H9" s="71"/>
      <c r="I9" s="71"/>
      <c r="J9" s="72"/>
      <c r="K9" s="73">
        <f>ROUND(G9*D9+(G9*D9)*$J9,2)</f>
        <v>0</v>
      </c>
      <c r="L9" s="73">
        <f>ROUND(H9*E9+(H9*E9)*$J9,2)</f>
        <v>0</v>
      </c>
      <c r="M9" s="73">
        <f>ROUND(I9*F9+(I9*F9)*$J9,2)</f>
        <v>0</v>
      </c>
    </row>
    <row r="10" spans="2:14" ht="25.5" x14ac:dyDescent="0.25">
      <c r="B10" s="68" t="s">
        <v>29</v>
      </c>
      <c r="C10" s="68" t="s">
        <v>28</v>
      </c>
      <c r="D10" s="79">
        <v>210</v>
      </c>
      <c r="E10" s="79">
        <v>865</v>
      </c>
      <c r="F10" s="79">
        <v>445.5</v>
      </c>
      <c r="G10" s="71"/>
      <c r="H10" s="71"/>
      <c r="I10" s="71"/>
      <c r="J10" s="71"/>
      <c r="K10" s="73">
        <f t="shared" ref="K10:K19" si="0">G10*D10+(G10*D10)*$J10</f>
        <v>0</v>
      </c>
      <c r="L10" s="73">
        <f t="shared" ref="L10:L19" si="1">H10*E10+(H10*E10)*$J10</f>
        <v>0</v>
      </c>
      <c r="M10" s="73">
        <f t="shared" ref="M10:M19" si="2">I10*F10+(I10*F10)*$J10</f>
        <v>0</v>
      </c>
    </row>
    <row r="11" spans="2:14" ht="25.5" x14ac:dyDescent="0.25">
      <c r="B11" s="68" t="s">
        <v>31</v>
      </c>
      <c r="C11" s="68" t="s">
        <v>90</v>
      </c>
      <c r="D11" s="79">
        <v>225</v>
      </c>
      <c r="E11" s="79">
        <v>927</v>
      </c>
      <c r="F11" s="79">
        <v>477.5</v>
      </c>
      <c r="G11" s="71"/>
      <c r="H11" s="71"/>
      <c r="I11" s="71"/>
      <c r="J11" s="71"/>
      <c r="K11" s="73">
        <f t="shared" si="0"/>
        <v>0</v>
      </c>
      <c r="L11" s="73">
        <f t="shared" si="1"/>
        <v>0</v>
      </c>
      <c r="M11" s="73">
        <f t="shared" si="2"/>
        <v>0</v>
      </c>
    </row>
    <row r="12" spans="2:14" ht="25.5" x14ac:dyDescent="0.25">
      <c r="B12" s="68" t="s">
        <v>33</v>
      </c>
      <c r="C12" s="68" t="s">
        <v>91</v>
      </c>
      <c r="D12" s="79">
        <v>25</v>
      </c>
      <c r="E12" s="79">
        <v>103</v>
      </c>
      <c r="F12" s="79">
        <v>53</v>
      </c>
      <c r="G12" s="71"/>
      <c r="H12" s="71"/>
      <c r="I12" s="71"/>
      <c r="J12" s="71"/>
      <c r="K12" s="73">
        <f t="shared" si="0"/>
        <v>0</v>
      </c>
      <c r="L12" s="73">
        <f t="shared" si="1"/>
        <v>0</v>
      </c>
      <c r="M12" s="73">
        <f t="shared" si="2"/>
        <v>0</v>
      </c>
    </row>
    <row r="13" spans="2:14" ht="25.5" x14ac:dyDescent="0.25">
      <c r="B13" s="68" t="s">
        <v>34</v>
      </c>
      <c r="C13" s="68" t="s">
        <v>92</v>
      </c>
      <c r="D13" s="79">
        <v>63</v>
      </c>
      <c r="E13" s="79">
        <v>258</v>
      </c>
      <c r="F13" s="79">
        <v>133</v>
      </c>
      <c r="G13" s="71"/>
      <c r="H13" s="71"/>
      <c r="I13" s="71"/>
      <c r="J13" s="71"/>
      <c r="K13" s="73">
        <f t="shared" si="0"/>
        <v>0</v>
      </c>
      <c r="L13" s="73">
        <f t="shared" si="1"/>
        <v>0</v>
      </c>
      <c r="M13" s="73">
        <f t="shared" si="2"/>
        <v>0</v>
      </c>
    </row>
    <row r="14" spans="2:14" x14ac:dyDescent="0.25">
      <c r="B14" s="68" t="s">
        <v>8</v>
      </c>
      <c r="C14" s="68" t="s">
        <v>93</v>
      </c>
      <c r="D14" s="79">
        <v>5</v>
      </c>
      <c r="E14" s="79">
        <v>21</v>
      </c>
      <c r="F14" s="79">
        <v>11</v>
      </c>
      <c r="G14" s="71"/>
      <c r="H14" s="71"/>
      <c r="I14" s="71"/>
      <c r="J14" s="71"/>
      <c r="K14" s="73">
        <f t="shared" si="0"/>
        <v>0</v>
      </c>
      <c r="L14" s="73">
        <f t="shared" si="1"/>
        <v>0</v>
      </c>
      <c r="M14" s="73">
        <f t="shared" si="2"/>
        <v>0</v>
      </c>
    </row>
    <row r="15" spans="2:14" ht="51" x14ac:dyDescent="0.25">
      <c r="B15" s="68" t="s">
        <v>39</v>
      </c>
      <c r="C15" s="68" t="s">
        <v>94</v>
      </c>
      <c r="D15" s="79">
        <v>0.5</v>
      </c>
      <c r="E15" s="79">
        <v>2.06</v>
      </c>
      <c r="F15" s="79">
        <v>1</v>
      </c>
      <c r="G15" s="71"/>
      <c r="H15" s="71"/>
      <c r="I15" s="71"/>
      <c r="J15" s="71"/>
      <c r="K15" s="73">
        <f t="shared" si="0"/>
        <v>0</v>
      </c>
      <c r="L15" s="73">
        <f t="shared" si="1"/>
        <v>0</v>
      </c>
      <c r="M15" s="73">
        <f t="shared" si="2"/>
        <v>0</v>
      </c>
    </row>
    <row r="16" spans="2:14" ht="25.5" x14ac:dyDescent="0.25">
      <c r="B16" s="68" t="s">
        <v>40</v>
      </c>
      <c r="C16" s="68" t="s">
        <v>95</v>
      </c>
      <c r="D16" s="79">
        <v>0.01</v>
      </c>
      <c r="E16" s="79">
        <v>0.05</v>
      </c>
      <c r="F16" s="79">
        <v>0</v>
      </c>
      <c r="G16" s="71"/>
      <c r="H16" s="71"/>
      <c r="I16" s="71"/>
      <c r="J16" s="71"/>
      <c r="K16" s="73">
        <f t="shared" si="0"/>
        <v>0</v>
      </c>
      <c r="L16" s="73">
        <f t="shared" si="1"/>
        <v>0</v>
      </c>
      <c r="M16" s="73">
        <f t="shared" si="2"/>
        <v>0</v>
      </c>
    </row>
    <row r="17" spans="2:13" ht="25.5" x14ac:dyDescent="0.25">
      <c r="B17" s="68" t="s">
        <v>42</v>
      </c>
      <c r="C17" s="68" t="s">
        <v>96</v>
      </c>
      <c r="D17" s="79">
        <v>0</v>
      </c>
      <c r="E17" s="79">
        <v>0.01</v>
      </c>
      <c r="F17" s="79">
        <v>0</v>
      </c>
      <c r="G17" s="71"/>
      <c r="H17" s="71"/>
      <c r="I17" s="71"/>
      <c r="J17" s="71"/>
      <c r="K17" s="73">
        <f t="shared" si="0"/>
        <v>0</v>
      </c>
      <c r="L17" s="73">
        <f t="shared" si="1"/>
        <v>0</v>
      </c>
      <c r="M17" s="73">
        <f t="shared" si="2"/>
        <v>0</v>
      </c>
    </row>
    <row r="18" spans="2:13" ht="25.5" x14ac:dyDescent="0.25">
      <c r="B18" s="68" t="s">
        <v>41</v>
      </c>
      <c r="C18" s="68" t="s">
        <v>97</v>
      </c>
      <c r="D18" s="79">
        <v>0</v>
      </c>
      <c r="E18" s="79">
        <v>0.01</v>
      </c>
      <c r="F18" s="79">
        <v>0</v>
      </c>
      <c r="G18" s="71"/>
      <c r="H18" s="71"/>
      <c r="I18" s="71"/>
      <c r="J18" s="71"/>
      <c r="K18" s="73">
        <f t="shared" si="0"/>
        <v>0</v>
      </c>
      <c r="L18" s="73">
        <f t="shared" si="1"/>
        <v>0</v>
      </c>
      <c r="M18" s="73">
        <f t="shared" si="2"/>
        <v>0</v>
      </c>
    </row>
    <row r="19" spans="2:13" x14ac:dyDescent="0.25">
      <c r="B19" s="68" t="s">
        <v>11</v>
      </c>
      <c r="C19" s="68" t="s">
        <v>98</v>
      </c>
      <c r="D19" s="79">
        <v>1</v>
      </c>
      <c r="E19" s="79">
        <v>4.12</v>
      </c>
      <c r="F19" s="79">
        <v>2</v>
      </c>
      <c r="G19" s="71"/>
      <c r="H19" s="71"/>
      <c r="I19" s="71"/>
      <c r="J19" s="71"/>
      <c r="K19" s="73">
        <f t="shared" si="0"/>
        <v>0</v>
      </c>
      <c r="L19" s="73">
        <f t="shared" si="1"/>
        <v>0</v>
      </c>
      <c r="M19" s="73">
        <f t="shared" si="2"/>
        <v>0</v>
      </c>
    </row>
    <row r="20" spans="2:13" x14ac:dyDescent="0.25">
      <c r="C20" s="75" t="s">
        <v>106</v>
      </c>
      <c r="G20" s="50"/>
      <c r="H20" s="50"/>
      <c r="I20" s="50"/>
      <c r="J20" s="50"/>
      <c r="K20" s="74">
        <f>SUM(K9:K19)</f>
        <v>0</v>
      </c>
      <c r="L20" s="74">
        <f t="shared" ref="L20:M20" si="3">SUM(L9:L19)</f>
        <v>0</v>
      </c>
      <c r="M20" s="74">
        <f t="shared" si="3"/>
        <v>0</v>
      </c>
    </row>
    <row r="21" spans="2:13" x14ac:dyDescent="0.25">
      <c r="C21" s="75" t="s">
        <v>107</v>
      </c>
      <c r="G21" s="234"/>
      <c r="H21" s="234"/>
      <c r="I21" s="234"/>
      <c r="J21" s="50"/>
      <c r="K21" s="235">
        <f>SUM(K20:M20)</f>
        <v>0</v>
      </c>
      <c r="L21" s="235"/>
      <c r="M21" s="235"/>
    </row>
    <row r="27" spans="2:13" x14ac:dyDescent="0.25">
      <c r="B27" s="64" t="s">
        <v>86</v>
      </c>
    </row>
    <row r="28" spans="2:13" x14ac:dyDescent="0.25">
      <c r="B28" s="65" t="s">
        <v>81</v>
      </c>
    </row>
    <row r="29" spans="2:13" x14ac:dyDescent="0.25">
      <c r="B29" s="65" t="s">
        <v>87</v>
      </c>
    </row>
    <row r="30" spans="2:13" x14ac:dyDescent="0.25">
      <c r="B30" s="65" t="s">
        <v>82</v>
      </c>
    </row>
    <row r="31" spans="2:13" x14ac:dyDescent="0.25">
      <c r="B31" s="65" t="s">
        <v>83</v>
      </c>
    </row>
    <row r="33" spans="2:13" ht="51" x14ac:dyDescent="0.25">
      <c r="B33" s="76" t="s">
        <v>44</v>
      </c>
      <c r="C33" s="76" t="s">
        <v>108</v>
      </c>
      <c r="D33" s="70" t="s">
        <v>139</v>
      </c>
      <c r="E33" s="70" t="s">
        <v>140</v>
      </c>
      <c r="F33" s="70" t="s">
        <v>141</v>
      </c>
      <c r="G33" s="70" t="s">
        <v>99</v>
      </c>
      <c r="H33" s="70" t="s">
        <v>100</v>
      </c>
      <c r="I33" s="70" t="s">
        <v>101</v>
      </c>
      <c r="J33" s="70" t="s">
        <v>102</v>
      </c>
      <c r="K33" s="70" t="s">
        <v>103</v>
      </c>
      <c r="L33" s="70" t="s">
        <v>104</v>
      </c>
      <c r="M33" s="70" t="s">
        <v>105</v>
      </c>
    </row>
    <row r="34" spans="2:13" x14ac:dyDescent="0.25">
      <c r="B34" s="77" t="s">
        <v>109</v>
      </c>
      <c r="C34" s="77" t="s">
        <v>110</v>
      </c>
      <c r="D34" s="78">
        <f>E34/12*3</f>
        <v>0.25</v>
      </c>
      <c r="E34" s="78">
        <v>1</v>
      </c>
      <c r="F34" s="78">
        <f>E34/2</f>
        <v>0.5</v>
      </c>
      <c r="G34" s="71"/>
      <c r="H34" s="71"/>
      <c r="I34" s="71"/>
      <c r="J34" s="72"/>
      <c r="K34" s="73">
        <f>ROUND(G34*D34+(G34*D34)*$J34,2)</f>
        <v>0</v>
      </c>
      <c r="L34" s="73">
        <f>ROUND(H34*E34+(H34*E34)*$J34,2)</f>
        <v>0</v>
      </c>
      <c r="M34" s="73">
        <f>ROUND(I34*F34+(I34*F34)*$J34,2)</f>
        <v>0</v>
      </c>
    </row>
    <row r="35" spans="2:13" x14ac:dyDescent="0.25">
      <c r="B35" s="77" t="s">
        <v>111</v>
      </c>
      <c r="C35" s="77" t="s">
        <v>112</v>
      </c>
      <c r="D35" s="78">
        <f t="shared" ref="D35:D38" si="4">E35/12*3</f>
        <v>0.25</v>
      </c>
      <c r="E35" s="78">
        <v>1</v>
      </c>
      <c r="F35" s="78">
        <f t="shared" ref="F35:F38" si="5">E35/2</f>
        <v>0.5</v>
      </c>
      <c r="G35" s="71"/>
      <c r="H35" s="71"/>
      <c r="I35" s="71"/>
      <c r="J35" s="71"/>
      <c r="K35" s="73">
        <f t="shared" ref="K35:K44" si="6">G35*D35+(G35*D35)*$J35</f>
        <v>0</v>
      </c>
      <c r="L35" s="73">
        <f t="shared" ref="L35:L44" si="7">H35*E35+(H35*E35)*$J35</f>
        <v>0</v>
      </c>
      <c r="M35" s="73">
        <f t="shared" ref="M35:M44" si="8">I35*F35+(I35*F35)*$J35</f>
        <v>0</v>
      </c>
    </row>
    <row r="36" spans="2:13" x14ac:dyDescent="0.25">
      <c r="B36" s="77" t="s">
        <v>113</v>
      </c>
      <c r="C36" s="77" t="s">
        <v>114</v>
      </c>
      <c r="D36" s="78">
        <f t="shared" si="4"/>
        <v>0.25</v>
      </c>
      <c r="E36" s="78">
        <v>1</v>
      </c>
      <c r="F36" s="78">
        <f t="shared" si="5"/>
        <v>0.5</v>
      </c>
      <c r="G36" s="71"/>
      <c r="H36" s="71"/>
      <c r="I36" s="71"/>
      <c r="J36" s="71"/>
      <c r="K36" s="73">
        <f t="shared" si="6"/>
        <v>0</v>
      </c>
      <c r="L36" s="73">
        <f t="shared" si="7"/>
        <v>0</v>
      </c>
      <c r="M36" s="73">
        <f t="shared" si="8"/>
        <v>0</v>
      </c>
    </row>
    <row r="37" spans="2:13" x14ac:dyDescent="0.25">
      <c r="B37" s="77" t="s">
        <v>115</v>
      </c>
      <c r="C37" s="77" t="s">
        <v>116</v>
      </c>
      <c r="D37" s="78">
        <f t="shared" si="4"/>
        <v>0.25</v>
      </c>
      <c r="E37" s="78">
        <v>1</v>
      </c>
      <c r="F37" s="78">
        <f t="shared" si="5"/>
        <v>0.5</v>
      </c>
      <c r="G37" s="71"/>
      <c r="H37" s="71"/>
      <c r="I37" s="71"/>
      <c r="J37" s="71"/>
      <c r="K37" s="73">
        <f t="shared" si="6"/>
        <v>0</v>
      </c>
      <c r="L37" s="73">
        <f t="shared" si="7"/>
        <v>0</v>
      </c>
      <c r="M37" s="73">
        <f t="shared" si="8"/>
        <v>0</v>
      </c>
    </row>
    <row r="38" spans="2:13" x14ac:dyDescent="0.25">
      <c r="B38" s="77" t="s">
        <v>117</v>
      </c>
      <c r="C38" s="77" t="s">
        <v>118</v>
      </c>
      <c r="D38" s="78">
        <f t="shared" si="4"/>
        <v>0.25</v>
      </c>
      <c r="E38" s="78">
        <v>1</v>
      </c>
      <c r="F38" s="78">
        <f t="shared" si="5"/>
        <v>0.5</v>
      </c>
      <c r="G38" s="71"/>
      <c r="H38" s="71"/>
      <c r="I38" s="71"/>
      <c r="J38" s="71"/>
      <c r="K38" s="73">
        <f t="shared" si="6"/>
        <v>0</v>
      </c>
      <c r="L38" s="73">
        <f t="shared" si="7"/>
        <v>0</v>
      </c>
      <c r="M38" s="73">
        <f t="shared" si="8"/>
        <v>0</v>
      </c>
    </row>
    <row r="39" spans="2:13" x14ac:dyDescent="0.25">
      <c r="B39" s="77" t="s">
        <v>11</v>
      </c>
      <c r="C39" s="77" t="s">
        <v>119</v>
      </c>
      <c r="D39" s="78">
        <v>0.63</v>
      </c>
      <c r="E39" s="78">
        <v>2.58</v>
      </c>
      <c r="F39" s="78">
        <v>2</v>
      </c>
      <c r="G39" s="71"/>
      <c r="H39" s="71"/>
      <c r="I39" s="71"/>
      <c r="J39" s="71"/>
      <c r="K39" s="73">
        <f t="shared" si="6"/>
        <v>0</v>
      </c>
      <c r="L39" s="73">
        <f t="shared" si="7"/>
        <v>0</v>
      </c>
      <c r="M39" s="73">
        <f t="shared" si="8"/>
        <v>0</v>
      </c>
    </row>
    <row r="40" spans="2:13" x14ac:dyDescent="0.25">
      <c r="B40" s="77" t="s">
        <v>120</v>
      </c>
      <c r="C40" s="77" t="s">
        <v>121</v>
      </c>
      <c r="D40" s="78">
        <v>11</v>
      </c>
      <c r="E40" s="78">
        <v>46</v>
      </c>
      <c r="F40" s="78">
        <v>27</v>
      </c>
      <c r="G40" s="71"/>
      <c r="H40" s="71"/>
      <c r="I40" s="71"/>
      <c r="J40" s="71"/>
      <c r="K40" s="73">
        <f t="shared" si="6"/>
        <v>0</v>
      </c>
      <c r="L40" s="73">
        <f t="shared" si="7"/>
        <v>0</v>
      </c>
      <c r="M40" s="73">
        <f t="shared" si="8"/>
        <v>0</v>
      </c>
    </row>
    <row r="41" spans="2:13" x14ac:dyDescent="0.25">
      <c r="B41" s="77" t="s">
        <v>122</v>
      </c>
      <c r="C41" s="77" t="s">
        <v>123</v>
      </c>
      <c r="D41" s="78"/>
      <c r="E41" s="78"/>
      <c r="F41" s="78"/>
      <c r="G41" s="71"/>
      <c r="H41" s="71"/>
      <c r="I41" s="71"/>
      <c r="J41" s="71"/>
      <c r="K41" s="73">
        <f t="shared" si="6"/>
        <v>0</v>
      </c>
      <c r="L41" s="73">
        <f t="shared" si="7"/>
        <v>0</v>
      </c>
      <c r="M41" s="73">
        <f t="shared" si="8"/>
        <v>0</v>
      </c>
    </row>
    <row r="42" spans="2:13" x14ac:dyDescent="0.25">
      <c r="B42" s="77" t="s">
        <v>43</v>
      </c>
      <c r="C42" s="77" t="s">
        <v>124</v>
      </c>
      <c r="D42" s="78">
        <v>0.5</v>
      </c>
      <c r="E42" s="78">
        <v>2.06</v>
      </c>
      <c r="F42" s="78">
        <v>2</v>
      </c>
      <c r="G42" s="71"/>
      <c r="H42" s="71"/>
      <c r="I42" s="71"/>
      <c r="J42" s="71"/>
      <c r="K42" s="73">
        <f t="shared" si="6"/>
        <v>0</v>
      </c>
      <c r="L42" s="73">
        <f t="shared" si="7"/>
        <v>0</v>
      </c>
      <c r="M42" s="73">
        <f t="shared" si="8"/>
        <v>0</v>
      </c>
    </row>
    <row r="43" spans="2:13" x14ac:dyDescent="0.25">
      <c r="B43" s="77" t="s">
        <v>16</v>
      </c>
      <c r="C43" s="77" t="s">
        <v>125</v>
      </c>
      <c r="D43" s="78">
        <v>0.25</v>
      </c>
      <c r="E43" s="78">
        <v>1.03</v>
      </c>
      <c r="F43" s="78">
        <v>1.06</v>
      </c>
      <c r="G43" s="71"/>
      <c r="H43" s="71"/>
      <c r="I43" s="71"/>
      <c r="J43" s="71"/>
      <c r="K43" s="73">
        <f t="shared" si="6"/>
        <v>0</v>
      </c>
      <c r="L43" s="73">
        <f t="shared" si="7"/>
        <v>0</v>
      </c>
      <c r="M43" s="73">
        <f t="shared" si="8"/>
        <v>0</v>
      </c>
    </row>
    <row r="44" spans="2:13" x14ac:dyDescent="0.25">
      <c r="B44" s="77" t="s">
        <v>126</v>
      </c>
      <c r="C44" s="77" t="s">
        <v>127</v>
      </c>
      <c r="D44" s="78">
        <v>0.03</v>
      </c>
      <c r="E44" s="78">
        <v>0.1</v>
      </c>
      <c r="F44" s="78">
        <v>0.1</v>
      </c>
      <c r="G44" s="71"/>
      <c r="H44" s="71"/>
      <c r="I44" s="71"/>
      <c r="J44" s="71"/>
      <c r="K44" s="73">
        <f t="shared" si="6"/>
        <v>0</v>
      </c>
      <c r="L44" s="73">
        <f t="shared" si="7"/>
        <v>0</v>
      </c>
      <c r="M44" s="73">
        <f t="shared" si="8"/>
        <v>0</v>
      </c>
    </row>
    <row r="45" spans="2:13" x14ac:dyDescent="0.25">
      <c r="B45" s="77" t="s">
        <v>14</v>
      </c>
      <c r="C45" s="77" t="s">
        <v>128</v>
      </c>
      <c r="D45" s="78">
        <v>0.25</v>
      </c>
      <c r="E45" s="78">
        <v>1.03</v>
      </c>
      <c r="F45" s="78">
        <v>1.06</v>
      </c>
      <c r="G45" s="71"/>
      <c r="H45" s="71"/>
      <c r="I45" s="71"/>
      <c r="J45" s="71"/>
      <c r="K45" s="73">
        <f>ROUND(G45*D45+(G45*D45)*$J45,2)</f>
        <v>0</v>
      </c>
      <c r="L45" s="73">
        <f>ROUND(H45*E45+(H45*E45)*$J45,2)</f>
        <v>0</v>
      </c>
      <c r="M45" s="73">
        <f>ROUND(I45*F45+(I45*F45)*$J45,2)</f>
        <v>0</v>
      </c>
    </row>
    <row r="46" spans="2:13" x14ac:dyDescent="0.25">
      <c r="B46" s="77" t="s">
        <v>129</v>
      </c>
      <c r="C46" s="252" t="s">
        <v>130</v>
      </c>
      <c r="D46" s="253">
        <v>0.03</v>
      </c>
      <c r="E46" s="253">
        <v>0.1</v>
      </c>
      <c r="F46" s="253">
        <v>0.1</v>
      </c>
      <c r="G46" s="71"/>
      <c r="H46" s="71"/>
      <c r="I46" s="71"/>
      <c r="J46" s="71"/>
      <c r="K46" s="73">
        <f t="shared" ref="K46:K51" si="9">G46*D46+(G46*D46)*$J46</f>
        <v>0</v>
      </c>
      <c r="L46" s="73">
        <f t="shared" ref="L46:L51" si="10">H46*E46+(H46*E46)*$J46</f>
        <v>0</v>
      </c>
      <c r="M46" s="73">
        <f t="shared" ref="M46:M51" si="11">I46*F46+(I46*F46)*$J46</f>
        <v>0</v>
      </c>
    </row>
    <row r="47" spans="2:13" x14ac:dyDescent="0.25">
      <c r="B47" s="77" t="s">
        <v>12</v>
      </c>
      <c r="C47" s="252"/>
      <c r="D47" s="253"/>
      <c r="E47" s="253"/>
      <c r="F47" s="253"/>
      <c r="G47" s="71"/>
      <c r="H47" s="71"/>
      <c r="I47" s="71"/>
      <c r="J47" s="71"/>
      <c r="K47" s="73">
        <f t="shared" si="9"/>
        <v>0</v>
      </c>
      <c r="L47" s="73">
        <f t="shared" si="10"/>
        <v>0</v>
      </c>
      <c r="M47" s="73">
        <f t="shared" si="11"/>
        <v>0</v>
      </c>
    </row>
    <row r="48" spans="2:13" x14ac:dyDescent="0.25">
      <c r="B48" s="77" t="s">
        <v>131</v>
      </c>
      <c r="C48" s="77" t="s">
        <v>132</v>
      </c>
      <c r="D48" s="78">
        <v>1E-3</v>
      </c>
      <c r="E48" s="78">
        <v>1E-3</v>
      </c>
      <c r="F48" s="78">
        <v>1E-3</v>
      </c>
      <c r="G48" s="71"/>
      <c r="H48" s="71"/>
      <c r="I48" s="71"/>
      <c r="J48" s="71"/>
      <c r="K48" s="73">
        <f t="shared" si="9"/>
        <v>0</v>
      </c>
      <c r="L48" s="73">
        <f t="shared" si="10"/>
        <v>0</v>
      </c>
      <c r="M48" s="73">
        <f t="shared" si="11"/>
        <v>0</v>
      </c>
    </row>
    <row r="49" spans="2:13" x14ac:dyDescent="0.25">
      <c r="B49" s="77" t="s">
        <v>133</v>
      </c>
      <c r="C49" s="77" t="s">
        <v>134</v>
      </c>
      <c r="D49" s="78">
        <v>1E-3</v>
      </c>
      <c r="E49" s="78">
        <v>1E-3</v>
      </c>
      <c r="F49" s="78">
        <v>1E-3</v>
      </c>
      <c r="G49" s="71"/>
      <c r="H49" s="71"/>
      <c r="I49" s="71"/>
      <c r="J49" s="71"/>
      <c r="K49" s="73">
        <f t="shared" si="9"/>
        <v>0</v>
      </c>
      <c r="L49" s="73">
        <f t="shared" si="10"/>
        <v>0</v>
      </c>
      <c r="M49" s="73">
        <f t="shared" si="11"/>
        <v>0</v>
      </c>
    </row>
    <row r="50" spans="2:13" x14ac:dyDescent="0.25">
      <c r="B50" s="77" t="s">
        <v>135</v>
      </c>
      <c r="C50" s="77" t="s">
        <v>136</v>
      </c>
      <c r="D50" s="78">
        <v>10</v>
      </c>
      <c r="E50" s="78">
        <v>30</v>
      </c>
      <c r="F50" s="78">
        <v>15</v>
      </c>
      <c r="G50" s="71"/>
      <c r="H50" s="71"/>
      <c r="I50" s="71"/>
      <c r="J50" s="71"/>
      <c r="K50" s="73">
        <f t="shared" si="9"/>
        <v>0</v>
      </c>
      <c r="L50" s="73">
        <f t="shared" si="10"/>
        <v>0</v>
      </c>
      <c r="M50" s="73">
        <f t="shared" si="11"/>
        <v>0</v>
      </c>
    </row>
    <row r="51" spans="2:13" x14ac:dyDescent="0.25">
      <c r="B51" s="77" t="s">
        <v>13</v>
      </c>
      <c r="C51" s="77" t="s">
        <v>53</v>
      </c>
      <c r="D51" s="78">
        <v>2.5</v>
      </c>
      <c r="E51" s="78">
        <v>10.3</v>
      </c>
      <c r="F51" s="78">
        <v>10.61</v>
      </c>
      <c r="G51" s="71"/>
      <c r="H51" s="71"/>
      <c r="I51" s="71"/>
      <c r="J51" s="71"/>
      <c r="K51" s="73">
        <f t="shared" si="9"/>
        <v>0</v>
      </c>
      <c r="L51" s="73">
        <f t="shared" si="10"/>
        <v>0</v>
      </c>
      <c r="M51" s="73">
        <f t="shared" si="11"/>
        <v>0</v>
      </c>
    </row>
    <row r="52" spans="2:13" x14ac:dyDescent="0.25">
      <c r="B52" s="77" t="s">
        <v>8</v>
      </c>
      <c r="C52" s="77" t="s">
        <v>50</v>
      </c>
      <c r="D52" s="78">
        <v>8</v>
      </c>
      <c r="E52" s="78">
        <v>31</v>
      </c>
      <c r="F52" s="78">
        <v>20</v>
      </c>
      <c r="G52" s="71"/>
      <c r="H52" s="71"/>
      <c r="I52" s="71"/>
      <c r="J52" s="71"/>
      <c r="K52" s="73">
        <f>ROUND(G52*D52+(G52*D52)*$J52,2)</f>
        <v>0</v>
      </c>
      <c r="L52" s="73">
        <f>ROUND(H52*E52+(H52*E52)*$J52,2)</f>
        <v>0</v>
      </c>
      <c r="M52" s="73">
        <f>ROUND(I52*F52+(I52*F52)*$J52,2)</f>
        <v>0</v>
      </c>
    </row>
    <row r="53" spans="2:13" x14ac:dyDescent="0.25">
      <c r="B53" s="1"/>
      <c r="C53" s="75" t="s">
        <v>106</v>
      </c>
      <c r="D53" s="1"/>
      <c r="E53" s="1"/>
      <c r="F53" s="1"/>
      <c r="G53" s="1"/>
      <c r="H53" s="1"/>
      <c r="I53" s="1"/>
      <c r="J53" s="1"/>
      <c r="K53" s="74">
        <f>SUM(K34:K52)</f>
        <v>0</v>
      </c>
      <c r="L53" s="74">
        <f t="shared" ref="L53:M53" si="12">SUM(L34:L52)</f>
        <v>0</v>
      </c>
      <c r="M53" s="74">
        <f t="shared" si="12"/>
        <v>0</v>
      </c>
    </row>
    <row r="54" spans="2:13" x14ac:dyDescent="0.25">
      <c r="B54" s="1"/>
      <c r="C54" s="75" t="s">
        <v>107</v>
      </c>
      <c r="D54" s="1"/>
      <c r="E54" s="1"/>
      <c r="F54" s="1"/>
      <c r="G54" s="1"/>
      <c r="H54" s="1"/>
      <c r="I54" s="1"/>
      <c r="J54" s="1"/>
      <c r="K54" s="235">
        <f>SUM(K53:M53)</f>
        <v>0</v>
      </c>
      <c r="L54" s="235"/>
      <c r="M54" s="235"/>
    </row>
    <row r="56" spans="2:13" ht="51" x14ac:dyDescent="0.25">
      <c r="B56" s="76" t="s">
        <v>145</v>
      </c>
      <c r="C56" s="76" t="s">
        <v>137</v>
      </c>
      <c r="D56" s="67" t="s">
        <v>142</v>
      </c>
      <c r="E56" s="67" t="s">
        <v>143</v>
      </c>
      <c r="F56" s="67" t="s">
        <v>144</v>
      </c>
      <c r="G56" s="70" t="s">
        <v>99</v>
      </c>
      <c r="H56" s="70" t="s">
        <v>100</v>
      </c>
      <c r="I56" s="70" t="s">
        <v>101</v>
      </c>
      <c r="J56" s="70" t="s">
        <v>102</v>
      </c>
      <c r="K56" s="70" t="s">
        <v>103</v>
      </c>
      <c r="L56" s="70" t="s">
        <v>104</v>
      </c>
      <c r="M56" s="70" t="s">
        <v>105</v>
      </c>
    </row>
    <row r="57" spans="2:13" x14ac:dyDescent="0.25">
      <c r="B57" s="1">
        <v>1</v>
      </c>
      <c r="C57" s="1" t="s">
        <v>138</v>
      </c>
      <c r="D57" s="69">
        <v>3</v>
      </c>
      <c r="E57" s="69">
        <v>12</v>
      </c>
      <c r="F57" s="69">
        <v>6</v>
      </c>
      <c r="G57" s="71"/>
      <c r="H57" s="71"/>
      <c r="I57" s="71"/>
      <c r="J57" s="71"/>
      <c r="K57" s="73">
        <f t="shared" ref="K57" si="13">G57*D57+(G57*D57)*$J57</f>
        <v>0</v>
      </c>
      <c r="L57" s="73">
        <f t="shared" ref="L57" si="14">H57*E57+(H57*E57)*$J57</f>
        <v>0</v>
      </c>
      <c r="M57" s="73">
        <f t="shared" ref="M57" si="15">I57*F57+(I57*F57)*$J57</f>
        <v>0</v>
      </c>
    </row>
    <row r="58" spans="2:13" x14ac:dyDescent="0.25">
      <c r="C58" s="75" t="s">
        <v>106</v>
      </c>
      <c r="D58" s="1"/>
      <c r="E58" s="1"/>
      <c r="F58" s="1"/>
      <c r="G58" s="1"/>
      <c r="H58" s="1"/>
      <c r="I58" s="1"/>
      <c r="J58" s="1"/>
      <c r="K58" s="74">
        <f>SUM(K57:K57)</f>
        <v>0</v>
      </c>
      <c r="L58" s="74">
        <f t="shared" ref="L58:M58" si="16">SUM(L57:L57)</f>
        <v>0</v>
      </c>
      <c r="M58" s="74">
        <f t="shared" si="16"/>
        <v>0</v>
      </c>
    </row>
    <row r="59" spans="2:13" x14ac:dyDescent="0.25">
      <c r="C59" s="75" t="s">
        <v>107</v>
      </c>
      <c r="D59" s="1"/>
      <c r="E59" s="1"/>
      <c r="F59" s="1"/>
      <c r="G59" s="1"/>
      <c r="H59" s="1"/>
      <c r="I59" s="1"/>
      <c r="J59" s="1"/>
      <c r="K59" s="235">
        <f>SUM(K58:M58)</f>
        <v>0</v>
      </c>
      <c r="L59" s="235"/>
      <c r="M59" s="235"/>
    </row>
  </sheetData>
  <mergeCells count="8">
    <mergeCell ref="K59:M59"/>
    <mergeCell ref="G21:I21"/>
    <mergeCell ref="K21:M21"/>
    <mergeCell ref="K54:M54"/>
    <mergeCell ref="C46:C47"/>
    <mergeCell ref="D46:D47"/>
    <mergeCell ref="E46:E47"/>
    <mergeCell ref="F46:F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24"/>
  <sheetViews>
    <sheetView workbookViewId="0">
      <selection activeCell="J12" sqref="J12"/>
    </sheetView>
  </sheetViews>
  <sheetFormatPr defaultRowHeight="15" x14ac:dyDescent="0.25"/>
  <cols>
    <col min="3" max="3" width="43.28515625" customWidth="1"/>
    <col min="4" max="4" width="23.140625" customWidth="1"/>
  </cols>
  <sheetData>
    <row r="2" spans="3:11" x14ac:dyDescent="0.25">
      <c r="C2" s="189"/>
    </row>
    <row r="3" spans="3:11" ht="15.75" thickBot="1" x14ac:dyDescent="0.3">
      <c r="C3" s="189" t="s">
        <v>234</v>
      </c>
    </row>
    <row r="4" spans="3:11" ht="16.5" thickTop="1" thickBot="1" x14ac:dyDescent="0.3">
      <c r="C4" s="254" t="s">
        <v>235</v>
      </c>
      <c r="D4" s="256" t="s">
        <v>236</v>
      </c>
      <c r="E4" s="258" t="s">
        <v>237</v>
      </c>
      <c r="F4" s="259"/>
      <c r="G4" s="260"/>
    </row>
    <row r="5" spans="3:11" ht="15.75" thickBot="1" x14ac:dyDescent="0.3">
      <c r="C5" s="255"/>
      <c r="D5" s="257"/>
      <c r="E5" s="190" t="s">
        <v>238</v>
      </c>
      <c r="F5" s="190" t="s">
        <v>239</v>
      </c>
      <c r="G5" s="191" t="s">
        <v>240</v>
      </c>
    </row>
    <row r="6" spans="3:11" ht="27" thickTop="1" thickBot="1" x14ac:dyDescent="0.3">
      <c r="C6" s="192" t="s">
        <v>241</v>
      </c>
      <c r="D6" s="193" t="s">
        <v>242</v>
      </c>
      <c r="E6" s="194">
        <v>31</v>
      </c>
      <c r="F6" s="194"/>
      <c r="G6" s="194">
        <v>31</v>
      </c>
      <c r="K6">
        <f>54.74*0.74</f>
        <v>40.507600000000004</v>
      </c>
    </row>
    <row r="7" spans="3:11" ht="26.25" thickBot="1" x14ac:dyDescent="0.3">
      <c r="C7" s="195"/>
      <c r="D7" s="193" t="s">
        <v>243</v>
      </c>
      <c r="E7" s="194">
        <v>7</v>
      </c>
      <c r="F7" s="194"/>
      <c r="G7" s="194">
        <v>7</v>
      </c>
    </row>
    <row r="8" spans="3:11" ht="15.75" thickBot="1" x14ac:dyDescent="0.3">
      <c r="C8" s="195"/>
      <c r="D8" s="193" t="s">
        <v>244</v>
      </c>
      <c r="E8" s="194">
        <v>98</v>
      </c>
      <c r="F8" s="194">
        <v>2</v>
      </c>
      <c r="G8" s="194">
        <v>100</v>
      </c>
    </row>
    <row r="9" spans="3:11" ht="15.75" thickBot="1" x14ac:dyDescent="0.3">
      <c r="C9" s="195"/>
      <c r="D9" s="193" t="s">
        <v>245</v>
      </c>
      <c r="E9" s="194">
        <v>12</v>
      </c>
      <c r="F9" s="194"/>
      <c r="G9" s="194">
        <v>12</v>
      </c>
    </row>
    <row r="10" spans="3:11" ht="15.75" thickBot="1" x14ac:dyDescent="0.3">
      <c r="C10" s="195"/>
      <c r="D10" s="193" t="s">
        <v>246</v>
      </c>
      <c r="E10" s="194">
        <v>12</v>
      </c>
      <c r="F10" s="194"/>
      <c r="G10" s="194">
        <v>12</v>
      </c>
    </row>
    <row r="11" spans="3:11" ht="26.25" thickBot="1" x14ac:dyDescent="0.3">
      <c r="C11" s="195"/>
      <c r="D11" s="193" t="s">
        <v>247</v>
      </c>
      <c r="E11" s="194">
        <v>13</v>
      </c>
      <c r="F11" s="194"/>
      <c r="G11" s="194">
        <v>13</v>
      </c>
    </row>
    <row r="12" spans="3:11" ht="15.75" thickBot="1" x14ac:dyDescent="0.3">
      <c r="C12" s="195"/>
      <c r="D12" s="193" t="s">
        <v>248</v>
      </c>
      <c r="E12" s="194">
        <v>33</v>
      </c>
      <c r="F12" s="194"/>
      <c r="G12" s="194">
        <v>33</v>
      </c>
    </row>
    <row r="13" spans="3:11" ht="15.75" thickBot="1" x14ac:dyDescent="0.3">
      <c r="C13" s="195"/>
      <c r="D13" s="194" t="s">
        <v>249</v>
      </c>
      <c r="E13" s="194">
        <v>206</v>
      </c>
      <c r="F13" s="194">
        <v>2</v>
      </c>
      <c r="G13" s="194">
        <v>208</v>
      </c>
    </row>
    <row r="14" spans="3:11" ht="15.75" thickBot="1" x14ac:dyDescent="0.3">
      <c r="C14" s="196" t="s">
        <v>250</v>
      </c>
      <c r="D14" s="193" t="s">
        <v>251</v>
      </c>
      <c r="E14" s="194">
        <v>14</v>
      </c>
      <c r="F14" s="194"/>
      <c r="G14" s="194">
        <v>14</v>
      </c>
    </row>
    <row r="15" spans="3:11" ht="15.75" thickBot="1" x14ac:dyDescent="0.3">
      <c r="C15" s="195"/>
      <c r="D15" s="193" t="s">
        <v>252</v>
      </c>
      <c r="E15" s="194">
        <v>15</v>
      </c>
      <c r="F15" s="194"/>
      <c r="G15" s="194">
        <v>15</v>
      </c>
    </row>
    <row r="16" spans="3:11" ht="15.75" thickBot="1" x14ac:dyDescent="0.3">
      <c r="C16" s="195"/>
      <c r="D16" s="193" t="s">
        <v>244</v>
      </c>
      <c r="E16" s="194">
        <v>35</v>
      </c>
      <c r="F16" s="194"/>
      <c r="G16" s="194">
        <v>35</v>
      </c>
    </row>
    <row r="17" spans="3:7" ht="15.75" thickBot="1" x14ac:dyDescent="0.3">
      <c r="C17" s="195"/>
      <c r="D17" s="193" t="s">
        <v>253</v>
      </c>
      <c r="E17" s="194">
        <v>20</v>
      </c>
      <c r="F17" s="194"/>
      <c r="G17" s="194">
        <v>20</v>
      </c>
    </row>
    <row r="18" spans="3:7" ht="15.75" thickBot="1" x14ac:dyDescent="0.3">
      <c r="C18" s="195"/>
      <c r="D18" s="193" t="s">
        <v>254</v>
      </c>
      <c r="E18" s="194">
        <v>34</v>
      </c>
      <c r="F18" s="194"/>
      <c r="G18" s="194">
        <v>34</v>
      </c>
    </row>
    <row r="19" spans="3:7" ht="15.75" thickBot="1" x14ac:dyDescent="0.3">
      <c r="C19" s="195"/>
      <c r="D19" s="193" t="s">
        <v>255</v>
      </c>
      <c r="E19" s="194">
        <v>8</v>
      </c>
      <c r="F19" s="194"/>
      <c r="G19" s="194">
        <v>8</v>
      </c>
    </row>
    <row r="20" spans="3:7" ht="26.25" thickBot="1" x14ac:dyDescent="0.3">
      <c r="C20" s="195"/>
      <c r="D20" s="193" t="s">
        <v>256</v>
      </c>
      <c r="E20" s="194">
        <v>30</v>
      </c>
      <c r="F20" s="194">
        <v>1</v>
      </c>
      <c r="G20" s="194">
        <v>31</v>
      </c>
    </row>
    <row r="21" spans="3:7" ht="15.75" thickBot="1" x14ac:dyDescent="0.3">
      <c r="C21" s="195"/>
      <c r="D21" s="193" t="s">
        <v>257</v>
      </c>
      <c r="E21" s="194">
        <v>11</v>
      </c>
      <c r="F21" s="194"/>
      <c r="G21" s="194">
        <v>11</v>
      </c>
    </row>
    <row r="22" spans="3:7" ht="15.75" thickBot="1" x14ac:dyDescent="0.3">
      <c r="C22" s="195"/>
      <c r="D22" s="193" t="s">
        <v>258</v>
      </c>
      <c r="E22" s="194">
        <v>44</v>
      </c>
      <c r="F22" s="194"/>
      <c r="G22" s="194">
        <v>44</v>
      </c>
    </row>
    <row r="23" spans="3:7" ht="15.75" thickBot="1" x14ac:dyDescent="0.3">
      <c r="C23" s="195"/>
      <c r="D23" s="193" t="s">
        <v>259</v>
      </c>
      <c r="E23" s="194">
        <v>15</v>
      </c>
      <c r="F23" s="194"/>
      <c r="G23" s="194">
        <v>15</v>
      </c>
    </row>
    <row r="24" spans="3:7" ht="15.75" thickBot="1" x14ac:dyDescent="0.3">
      <c r="C24" s="195"/>
      <c r="D24" s="193" t="s">
        <v>260</v>
      </c>
      <c r="E24" s="194">
        <v>23</v>
      </c>
      <c r="F24" s="194"/>
      <c r="G24" s="194">
        <v>23</v>
      </c>
    </row>
    <row r="25" spans="3:7" ht="15.75" thickBot="1" x14ac:dyDescent="0.3">
      <c r="C25" s="195"/>
      <c r="D25" s="193" t="s">
        <v>261</v>
      </c>
      <c r="E25" s="194">
        <v>29</v>
      </c>
      <c r="F25" s="194"/>
      <c r="G25" s="194">
        <v>29</v>
      </c>
    </row>
    <row r="26" spans="3:7" ht="15.75" thickBot="1" x14ac:dyDescent="0.3">
      <c r="C26" s="195"/>
      <c r="D26" s="194" t="s">
        <v>249</v>
      </c>
      <c r="E26" s="194">
        <v>278</v>
      </c>
      <c r="F26" s="194">
        <v>1</v>
      </c>
      <c r="G26" s="194">
        <v>279</v>
      </c>
    </row>
    <row r="27" spans="3:7" ht="15.75" thickBot="1" x14ac:dyDescent="0.3">
      <c r="C27" s="196" t="s">
        <v>262</v>
      </c>
      <c r="D27" s="193"/>
      <c r="E27" s="194">
        <v>259</v>
      </c>
      <c r="F27" s="194"/>
      <c r="G27" s="194">
        <v>259</v>
      </c>
    </row>
    <row r="28" spans="3:7" ht="15.75" thickBot="1" x14ac:dyDescent="0.3">
      <c r="C28" s="192" t="s">
        <v>263</v>
      </c>
      <c r="D28" s="193" t="s">
        <v>252</v>
      </c>
      <c r="E28" s="194">
        <v>27</v>
      </c>
      <c r="F28" s="194"/>
      <c r="G28" s="194">
        <v>27</v>
      </c>
    </row>
    <row r="29" spans="3:7" ht="15.75" thickBot="1" x14ac:dyDescent="0.3">
      <c r="C29" s="195"/>
      <c r="D29" s="193" t="s">
        <v>242</v>
      </c>
      <c r="E29" s="194">
        <v>26</v>
      </c>
      <c r="F29" s="194"/>
      <c r="G29" s="194">
        <v>26</v>
      </c>
    </row>
    <row r="30" spans="3:7" ht="15.75" thickBot="1" x14ac:dyDescent="0.3">
      <c r="C30" s="195"/>
      <c r="D30" s="193" t="s">
        <v>264</v>
      </c>
      <c r="E30" s="194">
        <v>79</v>
      </c>
      <c r="F30" s="194"/>
      <c r="G30" s="194">
        <v>79</v>
      </c>
    </row>
    <row r="31" spans="3:7" ht="15.75" thickBot="1" x14ac:dyDescent="0.3">
      <c r="C31" s="195"/>
      <c r="D31" s="193" t="s">
        <v>243</v>
      </c>
      <c r="E31" s="194">
        <v>30</v>
      </c>
      <c r="F31" s="194"/>
      <c r="G31" s="194">
        <v>30</v>
      </c>
    </row>
    <row r="32" spans="3:7" ht="15.75" thickBot="1" x14ac:dyDescent="0.3">
      <c r="C32" s="195"/>
      <c r="D32" s="193" t="s">
        <v>265</v>
      </c>
      <c r="E32" s="194">
        <v>28</v>
      </c>
      <c r="F32" s="194"/>
      <c r="G32" s="194">
        <v>28</v>
      </c>
    </row>
    <row r="33" spans="3:7" ht="15.75" thickBot="1" x14ac:dyDescent="0.3">
      <c r="C33" s="195"/>
      <c r="D33" s="193" t="s">
        <v>266</v>
      </c>
      <c r="E33" s="194">
        <v>87</v>
      </c>
      <c r="F33" s="194"/>
      <c r="G33" s="194">
        <v>87</v>
      </c>
    </row>
    <row r="34" spans="3:7" ht="15.75" thickBot="1" x14ac:dyDescent="0.3">
      <c r="C34" s="195"/>
      <c r="D34" s="193" t="s">
        <v>267</v>
      </c>
      <c r="E34" s="194">
        <v>21</v>
      </c>
      <c r="F34" s="194"/>
      <c r="G34" s="194">
        <v>21</v>
      </c>
    </row>
    <row r="35" spans="3:7" ht="15.75" thickBot="1" x14ac:dyDescent="0.3">
      <c r="C35" s="195"/>
      <c r="D35" s="193" t="s">
        <v>268</v>
      </c>
      <c r="E35" s="194">
        <v>14</v>
      </c>
      <c r="F35" s="194"/>
      <c r="G35" s="194">
        <v>14</v>
      </c>
    </row>
    <row r="36" spans="3:7" ht="15.75" thickBot="1" x14ac:dyDescent="0.3">
      <c r="C36" s="195"/>
      <c r="D36" s="193" t="s">
        <v>269</v>
      </c>
      <c r="E36" s="194">
        <v>38</v>
      </c>
      <c r="F36" s="194"/>
      <c r="G36" s="194">
        <v>38</v>
      </c>
    </row>
    <row r="37" spans="3:7" ht="15.75" thickBot="1" x14ac:dyDescent="0.3">
      <c r="C37" s="195"/>
      <c r="D37" s="193" t="s">
        <v>270</v>
      </c>
      <c r="E37" s="194">
        <v>13</v>
      </c>
      <c r="F37" s="194"/>
      <c r="G37" s="194">
        <v>13</v>
      </c>
    </row>
    <row r="38" spans="3:7" ht="15.75" thickBot="1" x14ac:dyDescent="0.3">
      <c r="C38" s="195"/>
      <c r="D38" s="193" t="s">
        <v>245</v>
      </c>
      <c r="E38" s="194">
        <v>14</v>
      </c>
      <c r="F38" s="194"/>
      <c r="G38" s="194">
        <v>14</v>
      </c>
    </row>
    <row r="39" spans="3:7" ht="15.75" thickBot="1" x14ac:dyDescent="0.3">
      <c r="C39" s="195"/>
      <c r="D39" s="193" t="s">
        <v>271</v>
      </c>
      <c r="E39" s="194">
        <v>3</v>
      </c>
      <c r="F39" s="194"/>
      <c r="G39" s="194">
        <v>3</v>
      </c>
    </row>
    <row r="40" spans="3:7" ht="15.75" thickBot="1" x14ac:dyDescent="0.3">
      <c r="C40" s="195"/>
      <c r="D40" s="193" t="s">
        <v>272</v>
      </c>
      <c r="E40" s="194">
        <v>1</v>
      </c>
      <c r="F40" s="194"/>
      <c r="G40" s="194">
        <v>1</v>
      </c>
    </row>
    <row r="41" spans="3:7" ht="15.75" thickBot="1" x14ac:dyDescent="0.3">
      <c r="C41" s="195"/>
      <c r="D41" s="193" t="s">
        <v>273</v>
      </c>
      <c r="E41" s="194">
        <v>46</v>
      </c>
      <c r="F41" s="194"/>
      <c r="G41" s="194">
        <v>46</v>
      </c>
    </row>
    <row r="42" spans="3:7" ht="15.75" thickBot="1" x14ac:dyDescent="0.3">
      <c r="C42" s="195"/>
      <c r="D42" s="193" t="s">
        <v>274</v>
      </c>
      <c r="E42" s="194">
        <v>9</v>
      </c>
      <c r="F42" s="194"/>
      <c r="G42" s="194">
        <v>9</v>
      </c>
    </row>
    <row r="43" spans="3:7" ht="15.75" thickBot="1" x14ac:dyDescent="0.3">
      <c r="C43" s="195"/>
      <c r="D43" s="193" t="s">
        <v>257</v>
      </c>
      <c r="E43" s="194">
        <v>17</v>
      </c>
      <c r="F43" s="194"/>
      <c r="G43" s="194">
        <v>17</v>
      </c>
    </row>
    <row r="44" spans="3:7" ht="15.75" thickBot="1" x14ac:dyDescent="0.3">
      <c r="C44" s="195"/>
      <c r="D44" s="193" t="s">
        <v>275</v>
      </c>
      <c r="E44" s="194">
        <v>23</v>
      </c>
      <c r="F44" s="194"/>
      <c r="G44" s="194">
        <v>23</v>
      </c>
    </row>
    <row r="45" spans="3:7" ht="15.75" thickBot="1" x14ac:dyDescent="0.3">
      <c r="C45" s="195"/>
      <c r="D45" s="193" t="s">
        <v>276</v>
      </c>
      <c r="E45" s="194">
        <v>53</v>
      </c>
      <c r="F45" s="194"/>
      <c r="G45" s="194">
        <v>53</v>
      </c>
    </row>
    <row r="46" spans="3:7" ht="15.75" thickBot="1" x14ac:dyDescent="0.3">
      <c r="C46" s="195"/>
      <c r="D46" s="193" t="s">
        <v>247</v>
      </c>
      <c r="E46" s="194">
        <v>26</v>
      </c>
      <c r="F46" s="194"/>
      <c r="G46" s="194">
        <v>26</v>
      </c>
    </row>
    <row r="47" spans="3:7" ht="15.75" thickBot="1" x14ac:dyDescent="0.3">
      <c r="C47" s="195"/>
      <c r="D47" s="193" t="s">
        <v>277</v>
      </c>
      <c r="E47" s="194">
        <v>302</v>
      </c>
      <c r="F47" s="194">
        <v>4</v>
      </c>
      <c r="G47" s="194">
        <v>306</v>
      </c>
    </row>
    <row r="48" spans="3:7" ht="15.75" thickBot="1" x14ac:dyDescent="0.3">
      <c r="C48" s="195"/>
      <c r="D48" s="193" t="s">
        <v>278</v>
      </c>
      <c r="E48" s="194">
        <v>5</v>
      </c>
      <c r="F48" s="194"/>
      <c r="G48" s="194">
        <v>5</v>
      </c>
    </row>
    <row r="49" spans="3:7" ht="15.75" thickBot="1" x14ac:dyDescent="0.3">
      <c r="C49" s="195"/>
      <c r="D49" s="193" t="s">
        <v>279</v>
      </c>
      <c r="E49" s="194">
        <v>32</v>
      </c>
      <c r="F49" s="194"/>
      <c r="G49" s="194">
        <v>32</v>
      </c>
    </row>
    <row r="50" spans="3:7" ht="15.75" thickBot="1" x14ac:dyDescent="0.3">
      <c r="C50" s="195"/>
      <c r="D50" s="193" t="s">
        <v>280</v>
      </c>
      <c r="E50" s="194">
        <v>23</v>
      </c>
      <c r="F50" s="194"/>
      <c r="G50" s="194">
        <v>23</v>
      </c>
    </row>
    <row r="51" spans="3:7" ht="15.75" thickBot="1" x14ac:dyDescent="0.3">
      <c r="C51" s="195"/>
      <c r="D51" s="193" t="s">
        <v>281</v>
      </c>
      <c r="E51" s="194">
        <v>45</v>
      </c>
      <c r="F51" s="194"/>
      <c r="G51" s="194">
        <v>45</v>
      </c>
    </row>
    <row r="52" spans="3:7" ht="15.75" thickBot="1" x14ac:dyDescent="0.3">
      <c r="C52" s="195"/>
      <c r="D52" s="194" t="s">
        <v>249</v>
      </c>
      <c r="E52" s="194">
        <v>962</v>
      </c>
      <c r="F52" s="194">
        <v>4</v>
      </c>
      <c r="G52" s="194">
        <v>966</v>
      </c>
    </row>
    <row r="53" spans="3:7" ht="15.75" thickBot="1" x14ac:dyDescent="0.3">
      <c r="C53" s="196" t="s">
        <v>282</v>
      </c>
      <c r="D53" s="193" t="s">
        <v>283</v>
      </c>
      <c r="E53" s="194">
        <v>32</v>
      </c>
      <c r="F53" s="194"/>
      <c r="G53" s="194">
        <v>32</v>
      </c>
    </row>
    <row r="54" spans="3:7" ht="15.75" thickBot="1" x14ac:dyDescent="0.3">
      <c r="C54" s="195"/>
      <c r="D54" s="193" t="s">
        <v>252</v>
      </c>
      <c r="E54" s="194">
        <v>28</v>
      </c>
      <c r="F54" s="194"/>
      <c r="G54" s="194">
        <v>28</v>
      </c>
    </row>
    <row r="55" spans="3:7" ht="15.75" thickBot="1" x14ac:dyDescent="0.3">
      <c r="C55" s="195"/>
      <c r="D55" s="193" t="s">
        <v>284</v>
      </c>
      <c r="E55" s="194">
        <v>33</v>
      </c>
      <c r="F55" s="194">
        <v>8</v>
      </c>
      <c r="G55" s="194">
        <v>41</v>
      </c>
    </row>
    <row r="56" spans="3:7" ht="15.75" thickBot="1" x14ac:dyDescent="0.3">
      <c r="C56" s="195"/>
      <c r="D56" s="193" t="s">
        <v>285</v>
      </c>
      <c r="E56" s="194">
        <v>22</v>
      </c>
      <c r="F56" s="194"/>
      <c r="G56" s="194">
        <v>22</v>
      </c>
    </row>
    <row r="57" spans="3:7" ht="15.75" thickBot="1" x14ac:dyDescent="0.3">
      <c r="C57" s="195"/>
      <c r="D57" s="193" t="s">
        <v>286</v>
      </c>
      <c r="E57" s="194">
        <v>44</v>
      </c>
      <c r="F57" s="194"/>
      <c r="G57" s="194">
        <v>44</v>
      </c>
    </row>
    <row r="58" spans="3:7" ht="15.75" thickBot="1" x14ac:dyDescent="0.3">
      <c r="C58" s="195"/>
      <c r="D58" s="193" t="s">
        <v>287</v>
      </c>
      <c r="E58" s="194">
        <v>72</v>
      </c>
      <c r="F58" s="194"/>
      <c r="G58" s="194">
        <v>72</v>
      </c>
    </row>
    <row r="59" spans="3:7" ht="15.75" thickBot="1" x14ac:dyDescent="0.3">
      <c r="C59" s="195"/>
      <c r="D59" s="193" t="s">
        <v>288</v>
      </c>
      <c r="E59" s="194">
        <v>9</v>
      </c>
      <c r="F59" s="194"/>
      <c r="G59" s="194">
        <v>9</v>
      </c>
    </row>
    <row r="60" spans="3:7" ht="15.75" thickBot="1" x14ac:dyDescent="0.3">
      <c r="C60" s="195"/>
      <c r="D60" s="193" t="s">
        <v>253</v>
      </c>
      <c r="E60" s="194">
        <v>97</v>
      </c>
      <c r="F60" s="194">
        <v>1</v>
      </c>
      <c r="G60" s="194">
        <v>98</v>
      </c>
    </row>
    <row r="61" spans="3:7" ht="15.75" thickBot="1" x14ac:dyDescent="0.3">
      <c r="C61" s="195"/>
      <c r="D61" s="193" t="s">
        <v>289</v>
      </c>
      <c r="E61" s="194">
        <v>263</v>
      </c>
      <c r="F61" s="194">
        <v>4</v>
      </c>
      <c r="G61" s="194">
        <v>267</v>
      </c>
    </row>
    <row r="62" spans="3:7" ht="15.75" thickBot="1" x14ac:dyDescent="0.3">
      <c r="C62" s="195"/>
      <c r="D62" s="193" t="s">
        <v>290</v>
      </c>
      <c r="E62" s="194">
        <v>181</v>
      </c>
      <c r="F62" s="194">
        <v>1</v>
      </c>
      <c r="G62" s="194">
        <v>182</v>
      </c>
    </row>
    <row r="63" spans="3:7" ht="15.75" thickBot="1" x14ac:dyDescent="0.3">
      <c r="C63" s="195"/>
      <c r="D63" s="193" t="s">
        <v>291</v>
      </c>
      <c r="E63" s="194">
        <v>48</v>
      </c>
      <c r="F63" s="194"/>
      <c r="G63" s="194">
        <v>48</v>
      </c>
    </row>
    <row r="64" spans="3:7" ht="15.75" thickBot="1" x14ac:dyDescent="0.3">
      <c r="C64" s="195"/>
      <c r="D64" s="193" t="s">
        <v>257</v>
      </c>
      <c r="E64" s="194">
        <v>21</v>
      </c>
      <c r="F64" s="194"/>
      <c r="G64" s="194">
        <v>21</v>
      </c>
    </row>
    <row r="65" spans="3:7" ht="15.75" thickBot="1" x14ac:dyDescent="0.3">
      <c r="C65" s="195"/>
      <c r="D65" s="193" t="s">
        <v>292</v>
      </c>
      <c r="E65" s="194">
        <v>17</v>
      </c>
      <c r="F65" s="194"/>
      <c r="G65" s="194">
        <v>17</v>
      </c>
    </row>
    <row r="66" spans="3:7" ht="15.75" thickBot="1" x14ac:dyDescent="0.3">
      <c r="C66" s="195"/>
      <c r="D66" s="193" t="s">
        <v>277</v>
      </c>
      <c r="E66" s="194">
        <v>13</v>
      </c>
      <c r="F66" s="194"/>
      <c r="G66" s="194">
        <v>13</v>
      </c>
    </row>
    <row r="67" spans="3:7" ht="15.75" thickBot="1" x14ac:dyDescent="0.3">
      <c r="C67" s="195"/>
      <c r="D67" s="193" t="s">
        <v>261</v>
      </c>
      <c r="E67" s="194">
        <v>16</v>
      </c>
      <c r="F67" s="194"/>
      <c r="G67" s="194">
        <v>16</v>
      </c>
    </row>
    <row r="68" spans="3:7" ht="15.75" thickBot="1" x14ac:dyDescent="0.3">
      <c r="C68" s="195"/>
      <c r="D68" s="194" t="s">
        <v>249</v>
      </c>
      <c r="E68" s="194">
        <v>896</v>
      </c>
      <c r="F68" s="194">
        <v>14</v>
      </c>
      <c r="G68" s="194">
        <v>910</v>
      </c>
    </row>
    <row r="69" spans="3:7" ht="15.75" thickBot="1" x14ac:dyDescent="0.3">
      <c r="C69" s="196" t="s">
        <v>293</v>
      </c>
      <c r="D69" s="193"/>
      <c r="E69" s="194">
        <v>136</v>
      </c>
      <c r="F69" s="194"/>
      <c r="G69" s="194">
        <v>136</v>
      </c>
    </row>
    <row r="70" spans="3:7" ht="15.75" thickBot="1" x14ac:dyDescent="0.3">
      <c r="C70" s="192" t="s">
        <v>294</v>
      </c>
      <c r="D70" s="193" t="s">
        <v>295</v>
      </c>
      <c r="E70" s="194">
        <v>22</v>
      </c>
      <c r="F70" s="194"/>
      <c r="G70" s="194">
        <v>22</v>
      </c>
    </row>
    <row r="71" spans="3:7" ht="15.75" thickBot="1" x14ac:dyDescent="0.3">
      <c r="C71" s="195"/>
      <c r="D71" s="193" t="s">
        <v>296</v>
      </c>
      <c r="E71" s="194">
        <v>143</v>
      </c>
      <c r="F71" s="194">
        <v>5</v>
      </c>
      <c r="G71" s="194">
        <v>148</v>
      </c>
    </row>
    <row r="72" spans="3:7" ht="15.75" thickBot="1" x14ac:dyDescent="0.3">
      <c r="C72" s="195"/>
      <c r="D72" s="193" t="s">
        <v>266</v>
      </c>
      <c r="E72" s="194">
        <v>15</v>
      </c>
      <c r="F72" s="194"/>
      <c r="G72" s="194">
        <v>15</v>
      </c>
    </row>
    <row r="73" spans="3:7" ht="15.75" thickBot="1" x14ac:dyDescent="0.3">
      <c r="C73" s="195"/>
      <c r="D73" s="193" t="s">
        <v>297</v>
      </c>
      <c r="E73" s="194">
        <v>22</v>
      </c>
      <c r="F73" s="194"/>
      <c r="G73" s="194">
        <v>22</v>
      </c>
    </row>
    <row r="74" spans="3:7" ht="15.75" thickBot="1" x14ac:dyDescent="0.3">
      <c r="C74" s="195"/>
      <c r="D74" s="193" t="s">
        <v>254</v>
      </c>
      <c r="E74" s="194">
        <v>40</v>
      </c>
      <c r="F74" s="194"/>
      <c r="G74" s="194">
        <v>40</v>
      </c>
    </row>
    <row r="75" spans="3:7" ht="15.75" thickBot="1" x14ac:dyDescent="0.3">
      <c r="C75" s="195"/>
      <c r="D75" s="193" t="s">
        <v>290</v>
      </c>
      <c r="E75" s="194">
        <v>32</v>
      </c>
      <c r="F75" s="194"/>
      <c r="G75" s="194">
        <v>32</v>
      </c>
    </row>
    <row r="76" spans="3:7" ht="15.75" thickBot="1" x14ac:dyDescent="0.3">
      <c r="C76" s="195"/>
      <c r="D76" s="193" t="s">
        <v>291</v>
      </c>
      <c r="E76" s="194">
        <v>101</v>
      </c>
      <c r="F76" s="194">
        <v>5</v>
      </c>
      <c r="G76" s="194">
        <v>106</v>
      </c>
    </row>
    <row r="77" spans="3:7" ht="15.75" thickBot="1" x14ac:dyDescent="0.3">
      <c r="C77" s="195"/>
      <c r="D77" s="193" t="s">
        <v>256</v>
      </c>
      <c r="E77" s="194">
        <v>11</v>
      </c>
      <c r="F77" s="194"/>
      <c r="G77" s="194">
        <v>11</v>
      </c>
    </row>
    <row r="78" spans="3:7" ht="15.75" thickBot="1" x14ac:dyDescent="0.3">
      <c r="C78" s="195"/>
      <c r="D78" s="193" t="s">
        <v>259</v>
      </c>
      <c r="E78" s="194">
        <v>60</v>
      </c>
      <c r="F78" s="194"/>
      <c r="G78" s="194">
        <v>60</v>
      </c>
    </row>
    <row r="79" spans="3:7" ht="15.75" thickBot="1" x14ac:dyDescent="0.3">
      <c r="C79" s="195"/>
      <c r="D79" s="193" t="s">
        <v>298</v>
      </c>
      <c r="E79" s="194">
        <v>37</v>
      </c>
      <c r="F79" s="194"/>
      <c r="G79" s="194">
        <v>37</v>
      </c>
    </row>
    <row r="80" spans="3:7" ht="15.75" thickBot="1" x14ac:dyDescent="0.3">
      <c r="C80" s="195"/>
      <c r="D80" s="194" t="s">
        <v>249</v>
      </c>
      <c r="E80" s="194">
        <v>483</v>
      </c>
      <c r="F80" s="194">
        <v>10</v>
      </c>
      <c r="G80" s="194">
        <v>493</v>
      </c>
    </row>
    <row r="81" spans="3:7" ht="15.75" thickBot="1" x14ac:dyDescent="0.3">
      <c r="C81" s="196" t="s">
        <v>299</v>
      </c>
      <c r="D81" s="193" t="s">
        <v>300</v>
      </c>
      <c r="E81" s="194">
        <v>32</v>
      </c>
      <c r="F81" s="194"/>
      <c r="G81" s="194">
        <v>32</v>
      </c>
    </row>
    <row r="82" spans="3:7" ht="15.75" thickBot="1" x14ac:dyDescent="0.3">
      <c r="C82" s="195"/>
      <c r="D82" s="193" t="s">
        <v>301</v>
      </c>
      <c r="E82" s="194">
        <v>26</v>
      </c>
      <c r="F82" s="194"/>
      <c r="G82" s="194">
        <v>26</v>
      </c>
    </row>
    <row r="83" spans="3:7" ht="15.75" thickBot="1" x14ac:dyDescent="0.3">
      <c r="C83" s="195"/>
      <c r="D83" s="193" t="s">
        <v>302</v>
      </c>
      <c r="E83" s="194">
        <v>153</v>
      </c>
      <c r="F83" s="194">
        <v>2</v>
      </c>
      <c r="G83" s="194">
        <v>155</v>
      </c>
    </row>
    <row r="84" spans="3:7" ht="15.75" thickBot="1" x14ac:dyDescent="0.3">
      <c r="C84" s="195"/>
      <c r="D84" s="193" t="s">
        <v>245</v>
      </c>
      <c r="E84" s="194">
        <v>19</v>
      </c>
      <c r="F84" s="194"/>
      <c r="G84" s="194">
        <v>19</v>
      </c>
    </row>
    <row r="85" spans="3:7" ht="15.75" thickBot="1" x14ac:dyDescent="0.3">
      <c r="C85" s="195"/>
      <c r="D85" s="193" t="s">
        <v>272</v>
      </c>
      <c r="E85" s="194">
        <v>46</v>
      </c>
      <c r="F85" s="194"/>
      <c r="G85" s="194">
        <v>46</v>
      </c>
    </row>
    <row r="86" spans="3:7" ht="15.75" thickBot="1" x14ac:dyDescent="0.3">
      <c r="C86" s="195"/>
      <c r="D86" s="193" t="s">
        <v>303</v>
      </c>
      <c r="E86" s="194">
        <v>73</v>
      </c>
      <c r="F86" s="194"/>
      <c r="G86" s="194">
        <v>73</v>
      </c>
    </row>
    <row r="87" spans="3:7" ht="15.75" thickBot="1" x14ac:dyDescent="0.3">
      <c r="C87" s="195"/>
      <c r="D87" s="193" t="s">
        <v>258</v>
      </c>
      <c r="E87" s="194">
        <v>63</v>
      </c>
      <c r="F87" s="194"/>
      <c r="G87" s="194">
        <v>63</v>
      </c>
    </row>
    <row r="88" spans="3:7" ht="15.75" thickBot="1" x14ac:dyDescent="0.3">
      <c r="C88" s="195"/>
      <c r="D88" s="193" t="s">
        <v>248</v>
      </c>
      <c r="E88" s="194">
        <v>26</v>
      </c>
      <c r="F88" s="194"/>
      <c r="G88" s="194">
        <v>26</v>
      </c>
    </row>
    <row r="89" spans="3:7" ht="15.75" thickBot="1" x14ac:dyDescent="0.3">
      <c r="C89" s="195"/>
      <c r="D89" s="194" t="s">
        <v>249</v>
      </c>
      <c r="E89" s="194">
        <v>438</v>
      </c>
      <c r="F89" s="194">
        <v>2</v>
      </c>
      <c r="G89" s="194">
        <v>440</v>
      </c>
    </row>
    <row r="90" spans="3:7" ht="15.75" thickBot="1" x14ac:dyDescent="0.3">
      <c r="C90" s="196" t="s">
        <v>304</v>
      </c>
      <c r="D90" s="193" t="s">
        <v>295</v>
      </c>
      <c r="E90" s="194">
        <v>23</v>
      </c>
      <c r="F90" s="194"/>
      <c r="G90" s="194">
        <v>23</v>
      </c>
    </row>
    <row r="91" spans="3:7" ht="15.75" thickBot="1" x14ac:dyDescent="0.3">
      <c r="C91" s="195"/>
      <c r="D91" s="193" t="s">
        <v>305</v>
      </c>
      <c r="E91" s="194">
        <v>3</v>
      </c>
      <c r="F91" s="194"/>
      <c r="G91" s="194">
        <v>3</v>
      </c>
    </row>
    <row r="92" spans="3:7" ht="15.75" thickBot="1" x14ac:dyDescent="0.3">
      <c r="C92" s="195"/>
      <c r="D92" s="193" t="s">
        <v>306</v>
      </c>
      <c r="E92" s="194">
        <v>29</v>
      </c>
      <c r="F92" s="194">
        <v>5</v>
      </c>
      <c r="G92" s="194">
        <v>34</v>
      </c>
    </row>
    <row r="93" spans="3:7" ht="15.75" thickBot="1" x14ac:dyDescent="0.3">
      <c r="C93" s="195"/>
      <c r="D93" s="193" t="s">
        <v>264</v>
      </c>
      <c r="E93" s="194">
        <v>9</v>
      </c>
      <c r="F93" s="194"/>
      <c r="G93" s="194">
        <v>9</v>
      </c>
    </row>
    <row r="94" spans="3:7" ht="15.75" thickBot="1" x14ac:dyDescent="0.3">
      <c r="C94" s="195"/>
      <c r="D94" s="193" t="s">
        <v>307</v>
      </c>
      <c r="E94" s="194">
        <v>90</v>
      </c>
      <c r="F94" s="194">
        <v>1</v>
      </c>
      <c r="G94" s="194">
        <v>91</v>
      </c>
    </row>
    <row r="95" spans="3:7" ht="15.75" thickBot="1" x14ac:dyDescent="0.3">
      <c r="C95" s="195"/>
      <c r="D95" s="193" t="s">
        <v>308</v>
      </c>
      <c r="E95" s="194">
        <v>220</v>
      </c>
      <c r="F95" s="194">
        <v>1</v>
      </c>
      <c r="G95" s="194">
        <v>221</v>
      </c>
    </row>
    <row r="96" spans="3:7" ht="15.75" thickBot="1" x14ac:dyDescent="0.3">
      <c r="C96" s="195"/>
      <c r="D96" s="193" t="s">
        <v>309</v>
      </c>
      <c r="E96" s="194">
        <v>34</v>
      </c>
      <c r="F96" s="194"/>
      <c r="G96" s="194">
        <v>34</v>
      </c>
    </row>
    <row r="97" spans="3:7" ht="15.75" thickBot="1" x14ac:dyDescent="0.3">
      <c r="C97" s="195"/>
      <c r="D97" s="193" t="s">
        <v>310</v>
      </c>
      <c r="E97" s="194">
        <v>10</v>
      </c>
      <c r="F97" s="194"/>
      <c r="G97" s="194">
        <v>10</v>
      </c>
    </row>
    <row r="98" spans="3:7" ht="15.75" thickBot="1" x14ac:dyDescent="0.3">
      <c r="C98" s="195"/>
      <c r="D98" s="193" t="s">
        <v>311</v>
      </c>
      <c r="E98" s="194">
        <v>15</v>
      </c>
      <c r="F98" s="194"/>
      <c r="G98" s="194">
        <v>15</v>
      </c>
    </row>
    <row r="99" spans="3:7" ht="15.75" thickBot="1" x14ac:dyDescent="0.3">
      <c r="C99" s="195"/>
      <c r="D99" s="193" t="s">
        <v>301</v>
      </c>
      <c r="E99" s="194">
        <v>35</v>
      </c>
      <c r="F99" s="194">
        <v>1</v>
      </c>
      <c r="G99" s="194">
        <v>36</v>
      </c>
    </row>
    <row r="100" spans="3:7" ht="15.75" thickBot="1" x14ac:dyDescent="0.3">
      <c r="C100" s="195"/>
      <c r="D100" s="193" t="s">
        <v>312</v>
      </c>
      <c r="E100" s="194">
        <v>235</v>
      </c>
      <c r="F100" s="194">
        <v>9</v>
      </c>
      <c r="G100" s="194">
        <v>244</v>
      </c>
    </row>
    <row r="101" spans="3:7" ht="15.75" thickBot="1" x14ac:dyDescent="0.3">
      <c r="C101" s="195"/>
      <c r="D101" s="193" t="s">
        <v>313</v>
      </c>
      <c r="E101" s="194">
        <v>9</v>
      </c>
      <c r="F101" s="194"/>
      <c r="G101" s="194">
        <v>9</v>
      </c>
    </row>
    <row r="102" spans="3:7" ht="15.75" thickBot="1" x14ac:dyDescent="0.3">
      <c r="C102" s="195"/>
      <c r="D102" s="193" t="s">
        <v>245</v>
      </c>
      <c r="E102" s="194">
        <v>34</v>
      </c>
      <c r="F102" s="194"/>
      <c r="G102" s="194">
        <v>34</v>
      </c>
    </row>
    <row r="103" spans="3:7" ht="15.75" thickBot="1" x14ac:dyDescent="0.3">
      <c r="C103" s="195"/>
      <c r="D103" s="193" t="s">
        <v>314</v>
      </c>
      <c r="E103" s="194">
        <v>13</v>
      </c>
      <c r="F103" s="194"/>
      <c r="G103" s="194">
        <v>13</v>
      </c>
    </row>
    <row r="104" spans="3:7" ht="15.75" thickBot="1" x14ac:dyDescent="0.3">
      <c r="C104" s="195"/>
      <c r="D104" s="193" t="s">
        <v>272</v>
      </c>
      <c r="E104" s="194">
        <v>81</v>
      </c>
      <c r="F104" s="194">
        <v>4</v>
      </c>
      <c r="G104" s="194">
        <v>85</v>
      </c>
    </row>
    <row r="105" spans="3:7" ht="15.75" thickBot="1" x14ac:dyDescent="0.3">
      <c r="C105" s="195"/>
      <c r="D105" s="193" t="s">
        <v>246</v>
      </c>
      <c r="E105" s="194">
        <v>16</v>
      </c>
      <c r="F105" s="194"/>
      <c r="G105" s="194">
        <v>16</v>
      </c>
    </row>
    <row r="106" spans="3:7" ht="15.75" thickBot="1" x14ac:dyDescent="0.3">
      <c r="C106" s="195"/>
      <c r="D106" s="193" t="s">
        <v>315</v>
      </c>
      <c r="E106" s="194">
        <v>70</v>
      </c>
      <c r="F106" s="194"/>
      <c r="G106" s="194">
        <v>70</v>
      </c>
    </row>
    <row r="107" spans="3:7" ht="15.75" thickBot="1" x14ac:dyDescent="0.3">
      <c r="C107" s="195"/>
      <c r="D107" s="193" t="s">
        <v>316</v>
      </c>
      <c r="E107" s="194">
        <v>97</v>
      </c>
      <c r="F107" s="194"/>
      <c r="G107" s="194">
        <v>97</v>
      </c>
    </row>
    <row r="108" spans="3:7" ht="15.75" thickBot="1" x14ac:dyDescent="0.3">
      <c r="C108" s="195"/>
      <c r="D108" s="193" t="s">
        <v>257</v>
      </c>
      <c r="E108" s="194">
        <v>16</v>
      </c>
      <c r="F108" s="194"/>
      <c r="G108" s="194">
        <v>16</v>
      </c>
    </row>
    <row r="109" spans="3:7" ht="15.75" thickBot="1" x14ac:dyDescent="0.3">
      <c r="C109" s="195"/>
      <c r="D109" s="193" t="s">
        <v>275</v>
      </c>
      <c r="E109" s="194">
        <v>27</v>
      </c>
      <c r="F109" s="194"/>
      <c r="G109" s="194">
        <v>27</v>
      </c>
    </row>
    <row r="110" spans="3:7" ht="15.75" thickBot="1" x14ac:dyDescent="0.3">
      <c r="C110" s="195"/>
      <c r="D110" s="193" t="s">
        <v>317</v>
      </c>
      <c r="E110" s="194">
        <v>27</v>
      </c>
      <c r="F110" s="194"/>
      <c r="G110" s="194">
        <v>27</v>
      </c>
    </row>
    <row r="111" spans="3:7" ht="15.75" thickBot="1" x14ac:dyDescent="0.3">
      <c r="C111" s="195"/>
      <c r="D111" s="193" t="s">
        <v>247</v>
      </c>
      <c r="E111" s="194">
        <v>30</v>
      </c>
      <c r="F111" s="194"/>
      <c r="G111" s="194">
        <v>30</v>
      </c>
    </row>
    <row r="112" spans="3:7" ht="15.75" thickBot="1" x14ac:dyDescent="0.3">
      <c r="C112" s="195"/>
      <c r="D112" s="193" t="s">
        <v>318</v>
      </c>
      <c r="E112" s="194">
        <v>51</v>
      </c>
      <c r="F112" s="194"/>
      <c r="G112" s="194">
        <v>51</v>
      </c>
    </row>
    <row r="113" spans="3:7" ht="15.75" thickBot="1" x14ac:dyDescent="0.3">
      <c r="C113" s="195"/>
      <c r="D113" s="193" t="s">
        <v>259</v>
      </c>
      <c r="E113" s="194">
        <v>30</v>
      </c>
      <c r="F113" s="194"/>
      <c r="G113" s="194">
        <v>30</v>
      </c>
    </row>
    <row r="114" spans="3:7" ht="15.75" thickBot="1" x14ac:dyDescent="0.3">
      <c r="C114" s="195"/>
      <c r="D114" s="193" t="s">
        <v>319</v>
      </c>
      <c r="E114" s="194">
        <v>79</v>
      </c>
      <c r="F114" s="194">
        <v>1</v>
      </c>
      <c r="G114" s="194">
        <v>80</v>
      </c>
    </row>
    <row r="115" spans="3:7" ht="15.75" thickBot="1" x14ac:dyDescent="0.3">
      <c r="C115" s="195"/>
      <c r="D115" s="193" t="s">
        <v>320</v>
      </c>
      <c r="E115" s="194">
        <v>32</v>
      </c>
      <c r="F115" s="194">
        <v>1</v>
      </c>
      <c r="G115" s="194">
        <v>33</v>
      </c>
    </row>
    <row r="116" spans="3:7" ht="15.75" thickBot="1" x14ac:dyDescent="0.3">
      <c r="C116" s="195"/>
      <c r="D116" s="193" t="s">
        <v>321</v>
      </c>
      <c r="E116" s="194">
        <v>46</v>
      </c>
      <c r="F116" s="194"/>
      <c r="G116" s="194">
        <v>46</v>
      </c>
    </row>
    <row r="117" spans="3:7" ht="15.75" thickBot="1" x14ac:dyDescent="0.3">
      <c r="C117" s="195"/>
      <c r="D117" s="193" t="s">
        <v>322</v>
      </c>
      <c r="E117" s="194">
        <v>120</v>
      </c>
      <c r="F117" s="194"/>
      <c r="G117" s="194">
        <v>120</v>
      </c>
    </row>
    <row r="118" spans="3:7" ht="15.75" thickBot="1" x14ac:dyDescent="0.3">
      <c r="C118" s="195"/>
      <c r="D118" s="193" t="s">
        <v>323</v>
      </c>
      <c r="E118" s="194">
        <v>23</v>
      </c>
      <c r="F118" s="194"/>
      <c r="G118" s="194">
        <v>23</v>
      </c>
    </row>
    <row r="119" spans="3:7" ht="15.75" thickBot="1" x14ac:dyDescent="0.3">
      <c r="C119" s="195"/>
      <c r="D119" s="193" t="s">
        <v>261</v>
      </c>
      <c r="E119" s="194">
        <v>215</v>
      </c>
      <c r="F119" s="194">
        <v>3</v>
      </c>
      <c r="G119" s="194">
        <v>218</v>
      </c>
    </row>
    <row r="120" spans="3:7" ht="15.75" thickBot="1" x14ac:dyDescent="0.3">
      <c r="C120" s="195"/>
      <c r="D120" s="193" t="s">
        <v>324</v>
      </c>
      <c r="E120" s="194">
        <v>21</v>
      </c>
      <c r="F120" s="194"/>
      <c r="G120" s="194">
        <v>21</v>
      </c>
    </row>
    <row r="121" spans="3:7" ht="15.75" thickBot="1" x14ac:dyDescent="0.3">
      <c r="C121" s="195"/>
      <c r="D121" s="193" t="s">
        <v>298</v>
      </c>
      <c r="E121" s="194">
        <v>20</v>
      </c>
      <c r="F121" s="194"/>
      <c r="G121" s="194">
        <v>20</v>
      </c>
    </row>
    <row r="122" spans="3:7" ht="15.75" thickBot="1" x14ac:dyDescent="0.3">
      <c r="C122" s="195"/>
      <c r="D122" s="193" t="s">
        <v>325</v>
      </c>
      <c r="E122" s="194">
        <v>14</v>
      </c>
      <c r="F122" s="194"/>
      <c r="G122" s="194">
        <v>14</v>
      </c>
    </row>
    <row r="123" spans="3:7" ht="15.75" thickBot="1" x14ac:dyDescent="0.3">
      <c r="C123" s="195"/>
      <c r="D123" s="193" t="s">
        <v>326</v>
      </c>
      <c r="E123" s="194">
        <v>61</v>
      </c>
      <c r="F123" s="194"/>
      <c r="G123" s="194">
        <v>61</v>
      </c>
    </row>
    <row r="124" spans="3:7" ht="15.75" thickBot="1" x14ac:dyDescent="0.3">
      <c r="C124" s="195"/>
      <c r="D124" s="194" t="s">
        <v>249</v>
      </c>
      <c r="E124" s="194">
        <v>1835</v>
      </c>
      <c r="F124" s="194">
        <v>26</v>
      </c>
      <c r="G124" s="194">
        <v>1861</v>
      </c>
    </row>
    <row r="125" spans="3:7" ht="15.75" thickBot="1" x14ac:dyDescent="0.3">
      <c r="C125" s="196" t="s">
        <v>327</v>
      </c>
      <c r="D125" s="193"/>
      <c r="E125" s="194">
        <v>43</v>
      </c>
      <c r="F125" s="194">
        <v>2</v>
      </c>
      <c r="G125" s="194">
        <v>45</v>
      </c>
    </row>
    <row r="126" spans="3:7" ht="15.75" thickBot="1" x14ac:dyDescent="0.3">
      <c r="C126" s="195"/>
      <c r="D126" s="193" t="s">
        <v>328</v>
      </c>
      <c r="E126" s="194">
        <v>52</v>
      </c>
      <c r="F126" s="194">
        <v>2</v>
      </c>
      <c r="G126" s="194">
        <v>54</v>
      </c>
    </row>
    <row r="127" spans="3:7" ht="15.75" thickBot="1" x14ac:dyDescent="0.3">
      <c r="C127" s="195"/>
      <c r="D127" s="193" t="s">
        <v>244</v>
      </c>
      <c r="E127" s="194">
        <v>469</v>
      </c>
      <c r="F127" s="194">
        <v>5</v>
      </c>
      <c r="G127" s="194">
        <v>474</v>
      </c>
    </row>
    <row r="128" spans="3:7" ht="15.75" thickBot="1" x14ac:dyDescent="0.3">
      <c r="C128" s="195"/>
      <c r="D128" s="193" t="s">
        <v>329</v>
      </c>
      <c r="E128" s="194">
        <v>46</v>
      </c>
      <c r="F128" s="194"/>
      <c r="G128" s="194">
        <v>46</v>
      </c>
    </row>
    <row r="129" spans="3:7" ht="15.75" thickBot="1" x14ac:dyDescent="0.3">
      <c r="C129" s="195"/>
      <c r="D129" s="193" t="s">
        <v>245</v>
      </c>
      <c r="E129" s="194">
        <v>96</v>
      </c>
      <c r="F129" s="194">
        <v>1</v>
      </c>
      <c r="G129" s="194">
        <v>97</v>
      </c>
    </row>
    <row r="130" spans="3:7" ht="15.75" thickBot="1" x14ac:dyDescent="0.3">
      <c r="C130" s="195"/>
      <c r="D130" s="193" t="s">
        <v>254</v>
      </c>
      <c r="E130" s="194">
        <v>9</v>
      </c>
      <c r="F130" s="194"/>
      <c r="G130" s="194">
        <v>9</v>
      </c>
    </row>
    <row r="131" spans="3:7" ht="15.75" thickBot="1" x14ac:dyDescent="0.3">
      <c r="C131" s="195"/>
      <c r="D131" s="193" t="s">
        <v>330</v>
      </c>
      <c r="E131" s="194">
        <v>8</v>
      </c>
      <c r="F131" s="194"/>
      <c r="G131" s="194">
        <v>8</v>
      </c>
    </row>
    <row r="132" spans="3:7" ht="15.75" thickBot="1" x14ac:dyDescent="0.3">
      <c r="C132" s="195"/>
      <c r="D132" s="193" t="s">
        <v>331</v>
      </c>
      <c r="E132" s="194">
        <v>1</v>
      </c>
      <c r="F132" s="194"/>
      <c r="G132" s="194">
        <v>1</v>
      </c>
    </row>
    <row r="133" spans="3:7" ht="15.75" thickBot="1" x14ac:dyDescent="0.3">
      <c r="C133" s="195"/>
      <c r="D133" s="193" t="s">
        <v>332</v>
      </c>
      <c r="E133" s="194">
        <v>37</v>
      </c>
      <c r="F133" s="194"/>
      <c r="G133" s="194">
        <v>37</v>
      </c>
    </row>
    <row r="134" spans="3:7" ht="15.75" thickBot="1" x14ac:dyDescent="0.3">
      <c r="C134" s="195"/>
      <c r="D134" s="193" t="s">
        <v>333</v>
      </c>
      <c r="E134" s="194">
        <v>41</v>
      </c>
      <c r="F134" s="194"/>
      <c r="G134" s="194">
        <v>41</v>
      </c>
    </row>
    <row r="135" spans="3:7" ht="15.75" thickBot="1" x14ac:dyDescent="0.3">
      <c r="C135" s="195"/>
      <c r="D135" s="193" t="s">
        <v>257</v>
      </c>
      <c r="E135" s="194">
        <v>83</v>
      </c>
      <c r="F135" s="194">
        <v>1</v>
      </c>
      <c r="G135" s="194">
        <v>84</v>
      </c>
    </row>
    <row r="136" spans="3:7" ht="15.75" thickBot="1" x14ac:dyDescent="0.3">
      <c r="C136" s="195"/>
      <c r="D136" s="193" t="s">
        <v>319</v>
      </c>
      <c r="E136" s="194">
        <v>12</v>
      </c>
      <c r="F136" s="194"/>
      <c r="G136" s="194">
        <v>12</v>
      </c>
    </row>
    <row r="137" spans="3:7" ht="15.75" thickBot="1" x14ac:dyDescent="0.3">
      <c r="C137" s="195"/>
      <c r="D137" s="193" t="s">
        <v>334</v>
      </c>
      <c r="E137" s="194">
        <v>24</v>
      </c>
      <c r="F137" s="194"/>
      <c r="G137" s="194">
        <v>24</v>
      </c>
    </row>
    <row r="138" spans="3:7" ht="15.75" thickBot="1" x14ac:dyDescent="0.3">
      <c r="C138" s="195"/>
      <c r="D138" s="194" t="s">
        <v>249</v>
      </c>
      <c r="E138" s="194">
        <v>921</v>
      </c>
      <c r="F138" s="194">
        <v>11</v>
      </c>
      <c r="G138" s="194">
        <v>932</v>
      </c>
    </row>
    <row r="139" spans="3:7" ht="15.75" thickBot="1" x14ac:dyDescent="0.3">
      <c r="C139" s="196" t="s">
        <v>335</v>
      </c>
      <c r="D139" s="193" t="s">
        <v>336</v>
      </c>
      <c r="E139" s="194">
        <v>37</v>
      </c>
      <c r="F139" s="194"/>
      <c r="G139" s="194">
        <v>37</v>
      </c>
    </row>
    <row r="140" spans="3:7" ht="15.75" thickBot="1" x14ac:dyDescent="0.3">
      <c r="C140" s="195"/>
      <c r="D140" s="193" t="s">
        <v>337</v>
      </c>
      <c r="E140" s="194">
        <v>14</v>
      </c>
      <c r="F140" s="194"/>
      <c r="G140" s="194">
        <v>14</v>
      </c>
    </row>
    <row r="141" spans="3:7" ht="15.75" thickBot="1" x14ac:dyDescent="0.3">
      <c r="C141" s="195"/>
      <c r="D141" s="193" t="s">
        <v>338</v>
      </c>
      <c r="E141" s="194">
        <v>1</v>
      </c>
      <c r="F141" s="194"/>
      <c r="G141" s="194">
        <v>1</v>
      </c>
    </row>
    <row r="142" spans="3:7" ht="15.75" thickBot="1" x14ac:dyDescent="0.3">
      <c r="C142" s="195"/>
      <c r="D142" s="193" t="s">
        <v>244</v>
      </c>
      <c r="E142" s="194">
        <v>211</v>
      </c>
      <c r="F142" s="194">
        <v>1</v>
      </c>
      <c r="G142" s="194">
        <v>212</v>
      </c>
    </row>
    <row r="143" spans="3:7" ht="15.75" thickBot="1" x14ac:dyDescent="0.3">
      <c r="C143" s="195"/>
      <c r="D143" s="193" t="s">
        <v>339</v>
      </c>
      <c r="E143" s="194">
        <v>16</v>
      </c>
      <c r="F143" s="194"/>
      <c r="G143" s="194">
        <v>16</v>
      </c>
    </row>
    <row r="144" spans="3:7" ht="15.75" thickBot="1" x14ac:dyDescent="0.3">
      <c r="C144" s="195"/>
      <c r="D144" s="193" t="s">
        <v>340</v>
      </c>
      <c r="E144" s="194">
        <v>63</v>
      </c>
      <c r="F144" s="194"/>
      <c r="G144" s="194">
        <v>63</v>
      </c>
    </row>
    <row r="145" spans="3:7" ht="15.75" thickBot="1" x14ac:dyDescent="0.3">
      <c r="C145" s="195"/>
      <c r="D145" s="193" t="s">
        <v>341</v>
      </c>
      <c r="E145" s="194">
        <v>22</v>
      </c>
      <c r="F145" s="194"/>
      <c r="G145" s="194">
        <v>22</v>
      </c>
    </row>
    <row r="146" spans="3:7" ht="15.75" thickBot="1" x14ac:dyDescent="0.3">
      <c r="C146" s="195"/>
      <c r="D146" s="193" t="s">
        <v>342</v>
      </c>
      <c r="E146" s="194">
        <v>32</v>
      </c>
      <c r="F146" s="194"/>
      <c r="G146" s="194">
        <v>32</v>
      </c>
    </row>
    <row r="147" spans="3:7" ht="15.75" thickBot="1" x14ac:dyDescent="0.3">
      <c r="C147" s="195"/>
      <c r="D147" s="193" t="s">
        <v>343</v>
      </c>
      <c r="E147" s="194">
        <v>29</v>
      </c>
      <c r="F147" s="194"/>
      <c r="G147" s="194">
        <v>29</v>
      </c>
    </row>
    <row r="148" spans="3:7" ht="15.75" thickBot="1" x14ac:dyDescent="0.3">
      <c r="C148" s="195"/>
      <c r="D148" s="193" t="s">
        <v>344</v>
      </c>
      <c r="E148" s="194">
        <v>38</v>
      </c>
      <c r="F148" s="194"/>
      <c r="G148" s="194">
        <v>38</v>
      </c>
    </row>
    <row r="149" spans="3:7" ht="15.75" thickBot="1" x14ac:dyDescent="0.3">
      <c r="C149" s="195"/>
      <c r="D149" s="193" t="s">
        <v>245</v>
      </c>
      <c r="E149" s="194">
        <v>15</v>
      </c>
      <c r="F149" s="194"/>
      <c r="G149" s="194">
        <v>15</v>
      </c>
    </row>
    <row r="150" spans="3:7" ht="15.75" thickBot="1" x14ac:dyDescent="0.3">
      <c r="C150" s="195"/>
      <c r="D150" s="193" t="s">
        <v>345</v>
      </c>
      <c r="E150" s="194">
        <v>25</v>
      </c>
      <c r="F150" s="194"/>
      <c r="G150" s="194">
        <v>25</v>
      </c>
    </row>
    <row r="151" spans="3:7" ht="15.75" thickBot="1" x14ac:dyDescent="0.3">
      <c r="C151" s="195"/>
      <c r="D151" s="193" t="s">
        <v>346</v>
      </c>
      <c r="E151" s="194">
        <v>5</v>
      </c>
      <c r="F151" s="194"/>
      <c r="G151" s="194">
        <v>5</v>
      </c>
    </row>
    <row r="152" spans="3:7" ht="15.75" thickBot="1" x14ac:dyDescent="0.3">
      <c r="C152" s="195"/>
      <c r="D152" s="193" t="s">
        <v>256</v>
      </c>
      <c r="E152" s="194">
        <v>26</v>
      </c>
      <c r="F152" s="194"/>
      <c r="G152" s="194">
        <v>26</v>
      </c>
    </row>
    <row r="153" spans="3:7" ht="15.75" thickBot="1" x14ac:dyDescent="0.3">
      <c r="C153" s="195"/>
      <c r="D153" s="193" t="s">
        <v>274</v>
      </c>
      <c r="E153" s="194">
        <v>48</v>
      </c>
      <c r="F153" s="194"/>
      <c r="G153" s="194">
        <v>48</v>
      </c>
    </row>
    <row r="154" spans="3:7" ht="15.75" thickBot="1" x14ac:dyDescent="0.3">
      <c r="C154" s="195"/>
      <c r="D154" s="193" t="s">
        <v>316</v>
      </c>
      <c r="E154" s="194">
        <v>38</v>
      </c>
      <c r="F154" s="194"/>
      <c r="G154" s="194">
        <v>38</v>
      </c>
    </row>
    <row r="155" spans="3:7" ht="15.75" thickBot="1" x14ac:dyDescent="0.3">
      <c r="C155" s="195"/>
      <c r="D155" s="193" t="s">
        <v>347</v>
      </c>
      <c r="E155" s="194">
        <v>17</v>
      </c>
      <c r="F155" s="194"/>
      <c r="G155" s="194">
        <v>17</v>
      </c>
    </row>
    <row r="156" spans="3:7" ht="15.75" thickBot="1" x14ac:dyDescent="0.3">
      <c r="C156" s="195"/>
      <c r="D156" s="193" t="s">
        <v>348</v>
      </c>
      <c r="E156" s="194">
        <v>38</v>
      </c>
      <c r="F156" s="194">
        <v>1</v>
      </c>
      <c r="G156" s="194">
        <v>39</v>
      </c>
    </row>
    <row r="157" spans="3:7" ht="15.75" thickBot="1" x14ac:dyDescent="0.3">
      <c r="C157" s="195"/>
      <c r="D157" s="193" t="s">
        <v>349</v>
      </c>
      <c r="E157" s="194">
        <v>5</v>
      </c>
      <c r="F157" s="194"/>
      <c r="G157" s="194">
        <v>5</v>
      </c>
    </row>
    <row r="158" spans="3:7" ht="15.75" thickBot="1" x14ac:dyDescent="0.3">
      <c r="C158" s="195"/>
      <c r="D158" s="193" t="s">
        <v>259</v>
      </c>
      <c r="E158" s="194">
        <v>23</v>
      </c>
      <c r="F158" s="194"/>
      <c r="G158" s="194">
        <v>23</v>
      </c>
    </row>
    <row r="159" spans="3:7" ht="15.75" thickBot="1" x14ac:dyDescent="0.3">
      <c r="C159" s="195"/>
      <c r="D159" s="193" t="s">
        <v>350</v>
      </c>
      <c r="E159" s="194">
        <v>31</v>
      </c>
      <c r="F159" s="194"/>
      <c r="G159" s="194">
        <v>31</v>
      </c>
    </row>
    <row r="160" spans="3:7" ht="15.75" thickBot="1" x14ac:dyDescent="0.3">
      <c r="C160" s="195"/>
      <c r="D160" s="193" t="s">
        <v>351</v>
      </c>
      <c r="E160" s="194">
        <v>8</v>
      </c>
      <c r="F160" s="194">
        <v>2</v>
      </c>
      <c r="G160" s="194">
        <v>10</v>
      </c>
    </row>
    <row r="161" spans="3:7" ht="15.75" thickBot="1" x14ac:dyDescent="0.3">
      <c r="C161" s="195"/>
      <c r="D161" s="193" t="s">
        <v>321</v>
      </c>
      <c r="E161" s="194">
        <v>28</v>
      </c>
      <c r="F161" s="194"/>
      <c r="G161" s="194">
        <v>28</v>
      </c>
    </row>
    <row r="162" spans="3:7" ht="15.75" thickBot="1" x14ac:dyDescent="0.3">
      <c r="C162" s="195"/>
      <c r="D162" s="193" t="s">
        <v>352</v>
      </c>
      <c r="E162" s="194">
        <v>25</v>
      </c>
      <c r="F162" s="194"/>
      <c r="G162" s="194">
        <v>25</v>
      </c>
    </row>
    <row r="163" spans="3:7" ht="15.75" thickBot="1" x14ac:dyDescent="0.3">
      <c r="C163" s="195"/>
      <c r="D163" s="193" t="s">
        <v>353</v>
      </c>
      <c r="E163" s="194">
        <v>34</v>
      </c>
      <c r="F163" s="194"/>
      <c r="G163" s="194">
        <v>34</v>
      </c>
    </row>
    <row r="164" spans="3:7" ht="15.75" thickBot="1" x14ac:dyDescent="0.3">
      <c r="C164" s="195"/>
      <c r="D164" s="193" t="s">
        <v>354</v>
      </c>
      <c r="E164" s="194">
        <v>16</v>
      </c>
      <c r="F164" s="194"/>
      <c r="G164" s="194">
        <v>16</v>
      </c>
    </row>
    <row r="165" spans="3:7" ht="15.75" thickBot="1" x14ac:dyDescent="0.3">
      <c r="C165" s="195"/>
      <c r="D165" s="193" t="s">
        <v>355</v>
      </c>
      <c r="E165" s="194">
        <v>9</v>
      </c>
      <c r="F165" s="194"/>
      <c r="G165" s="194">
        <v>9</v>
      </c>
    </row>
    <row r="166" spans="3:7" ht="15.75" thickBot="1" x14ac:dyDescent="0.3">
      <c r="C166" s="195"/>
      <c r="D166" s="193" t="s">
        <v>356</v>
      </c>
      <c r="E166" s="194">
        <v>28</v>
      </c>
      <c r="F166" s="194"/>
      <c r="G166" s="194">
        <v>28</v>
      </c>
    </row>
    <row r="167" spans="3:7" ht="15.75" thickBot="1" x14ac:dyDescent="0.3">
      <c r="C167" s="195"/>
      <c r="D167" s="194" t="s">
        <v>249</v>
      </c>
      <c r="E167" s="194">
        <v>882</v>
      </c>
      <c r="F167" s="194">
        <v>4</v>
      </c>
      <c r="G167" s="194">
        <v>886</v>
      </c>
    </row>
    <row r="168" spans="3:7" ht="15.75" thickBot="1" x14ac:dyDescent="0.3">
      <c r="C168" s="196" t="s">
        <v>357</v>
      </c>
      <c r="D168" s="193"/>
      <c r="E168" s="194">
        <v>676</v>
      </c>
      <c r="F168" s="194">
        <v>2</v>
      </c>
      <c r="G168" s="194">
        <v>678</v>
      </c>
    </row>
    <row r="169" spans="3:7" ht="15.75" thickBot="1" x14ac:dyDescent="0.3">
      <c r="C169" s="195"/>
      <c r="D169" s="193" t="s">
        <v>358</v>
      </c>
      <c r="E169" s="194">
        <v>15</v>
      </c>
      <c r="F169" s="194"/>
      <c r="G169" s="194">
        <v>15</v>
      </c>
    </row>
    <row r="170" spans="3:7" ht="15.75" thickBot="1" x14ac:dyDescent="0.3">
      <c r="C170" s="195"/>
      <c r="D170" s="193" t="s">
        <v>301</v>
      </c>
      <c r="E170" s="194">
        <v>14</v>
      </c>
      <c r="F170" s="194"/>
      <c r="G170" s="194">
        <v>14</v>
      </c>
    </row>
    <row r="171" spans="3:7" ht="15.75" thickBot="1" x14ac:dyDescent="0.3">
      <c r="C171" s="195"/>
      <c r="D171" s="193" t="s">
        <v>359</v>
      </c>
      <c r="E171" s="194">
        <v>34</v>
      </c>
      <c r="F171" s="194">
        <v>1</v>
      </c>
      <c r="G171" s="194">
        <v>35</v>
      </c>
    </row>
    <row r="172" spans="3:7" ht="15.75" thickBot="1" x14ac:dyDescent="0.3">
      <c r="C172" s="195"/>
      <c r="D172" s="193" t="s">
        <v>360</v>
      </c>
      <c r="E172" s="194">
        <v>5</v>
      </c>
      <c r="F172" s="194"/>
      <c r="G172" s="194">
        <v>5</v>
      </c>
    </row>
    <row r="173" spans="3:7" ht="15.75" thickBot="1" x14ac:dyDescent="0.3">
      <c r="C173" s="195"/>
      <c r="D173" s="193" t="s">
        <v>361</v>
      </c>
      <c r="E173" s="194">
        <v>2</v>
      </c>
      <c r="F173" s="194"/>
      <c r="G173" s="194">
        <v>2</v>
      </c>
    </row>
    <row r="174" spans="3:7" ht="15.75" thickBot="1" x14ac:dyDescent="0.3">
      <c r="C174" s="195"/>
      <c r="D174" s="194" t="s">
        <v>249</v>
      </c>
      <c r="E174" s="194">
        <v>746</v>
      </c>
      <c r="F174" s="194">
        <v>3</v>
      </c>
      <c r="G174" s="194">
        <v>749</v>
      </c>
    </row>
    <row r="175" spans="3:7" ht="15.75" thickBot="1" x14ac:dyDescent="0.3">
      <c r="C175" s="196" t="s">
        <v>362</v>
      </c>
      <c r="D175" s="193"/>
      <c r="E175" s="194">
        <v>374</v>
      </c>
      <c r="F175" s="194">
        <v>3</v>
      </c>
      <c r="G175" s="194">
        <v>377</v>
      </c>
    </row>
    <row r="176" spans="3:7" ht="15.75" thickBot="1" x14ac:dyDescent="0.3">
      <c r="C176" s="195"/>
      <c r="D176" s="193" t="s">
        <v>363</v>
      </c>
      <c r="E176" s="194">
        <v>14</v>
      </c>
      <c r="F176" s="194"/>
      <c r="G176" s="194">
        <v>14</v>
      </c>
    </row>
    <row r="177" spans="3:7" ht="15.75" thickBot="1" x14ac:dyDescent="0.3">
      <c r="C177" s="195"/>
      <c r="D177" s="193" t="s">
        <v>364</v>
      </c>
      <c r="E177" s="194">
        <v>1</v>
      </c>
      <c r="F177" s="194"/>
      <c r="G177" s="194">
        <v>1</v>
      </c>
    </row>
    <row r="178" spans="3:7" ht="15.75" thickBot="1" x14ac:dyDescent="0.3">
      <c r="C178" s="195"/>
      <c r="D178" s="193" t="s">
        <v>361</v>
      </c>
      <c r="E178" s="194">
        <v>4</v>
      </c>
      <c r="F178" s="194"/>
      <c r="G178" s="194">
        <v>4</v>
      </c>
    </row>
    <row r="179" spans="3:7" ht="15.75" thickBot="1" x14ac:dyDescent="0.3">
      <c r="C179" s="195"/>
      <c r="D179" s="193" t="s">
        <v>321</v>
      </c>
      <c r="E179" s="194">
        <v>7</v>
      </c>
      <c r="F179" s="194"/>
      <c r="G179" s="194">
        <v>7</v>
      </c>
    </row>
    <row r="180" spans="3:7" ht="15.75" thickBot="1" x14ac:dyDescent="0.3">
      <c r="C180" s="195"/>
      <c r="D180" s="193" t="s">
        <v>365</v>
      </c>
      <c r="E180" s="194">
        <v>1</v>
      </c>
      <c r="F180" s="194"/>
      <c r="G180" s="194">
        <v>1</v>
      </c>
    </row>
    <row r="181" spans="3:7" ht="15.75" thickBot="1" x14ac:dyDescent="0.3">
      <c r="C181" s="195"/>
      <c r="D181" s="194" t="s">
        <v>249</v>
      </c>
      <c r="E181" s="194">
        <v>401</v>
      </c>
      <c r="F181" s="194">
        <v>3</v>
      </c>
      <c r="G181" s="194">
        <v>404</v>
      </c>
    </row>
    <row r="182" spans="3:7" ht="15.75" thickBot="1" x14ac:dyDescent="0.3">
      <c r="C182" s="196" t="s">
        <v>366</v>
      </c>
      <c r="D182" s="193" t="s">
        <v>295</v>
      </c>
      <c r="E182" s="194">
        <v>10</v>
      </c>
      <c r="F182" s="194"/>
      <c r="G182" s="194">
        <v>10</v>
      </c>
    </row>
    <row r="183" spans="3:7" ht="15.75" thickBot="1" x14ac:dyDescent="0.3">
      <c r="C183" s="195"/>
      <c r="D183" s="193" t="s">
        <v>328</v>
      </c>
      <c r="E183" s="194">
        <v>16</v>
      </c>
      <c r="F183" s="194">
        <v>1</v>
      </c>
      <c r="G183" s="194">
        <v>17</v>
      </c>
    </row>
    <row r="184" spans="3:7" ht="15.75" thickBot="1" x14ac:dyDescent="0.3">
      <c r="C184" s="195"/>
      <c r="D184" s="193" t="s">
        <v>367</v>
      </c>
      <c r="E184" s="194">
        <v>19</v>
      </c>
      <c r="F184" s="194">
        <v>1</v>
      </c>
      <c r="G184" s="194">
        <v>20</v>
      </c>
    </row>
    <row r="185" spans="3:7" ht="15.75" thickBot="1" x14ac:dyDescent="0.3">
      <c r="C185" s="195"/>
      <c r="D185" s="193" t="s">
        <v>368</v>
      </c>
      <c r="E185" s="194">
        <v>16</v>
      </c>
      <c r="F185" s="194"/>
      <c r="G185" s="194">
        <v>16</v>
      </c>
    </row>
    <row r="186" spans="3:7" ht="15.75" thickBot="1" x14ac:dyDescent="0.3">
      <c r="C186" s="195"/>
      <c r="D186" s="193" t="s">
        <v>358</v>
      </c>
      <c r="E186" s="194">
        <v>173</v>
      </c>
      <c r="F186" s="194">
        <v>2</v>
      </c>
      <c r="G186" s="194">
        <v>175</v>
      </c>
    </row>
    <row r="187" spans="3:7" ht="15.75" thickBot="1" x14ac:dyDescent="0.3">
      <c r="C187" s="195"/>
      <c r="D187" s="193" t="s">
        <v>253</v>
      </c>
      <c r="E187" s="194">
        <v>9</v>
      </c>
      <c r="F187" s="194"/>
      <c r="G187" s="194">
        <v>9</v>
      </c>
    </row>
    <row r="188" spans="3:7" ht="15.75" thickBot="1" x14ac:dyDescent="0.3">
      <c r="C188" s="195"/>
      <c r="D188" s="193" t="s">
        <v>245</v>
      </c>
      <c r="E188" s="194">
        <v>5</v>
      </c>
      <c r="F188" s="194"/>
      <c r="G188" s="194">
        <v>5</v>
      </c>
    </row>
    <row r="189" spans="3:7" ht="15.75" thickBot="1" x14ac:dyDescent="0.3">
      <c r="C189" s="195"/>
      <c r="D189" s="193" t="s">
        <v>272</v>
      </c>
      <c r="E189" s="194">
        <v>14</v>
      </c>
      <c r="F189" s="194"/>
      <c r="G189" s="194">
        <v>14</v>
      </c>
    </row>
    <row r="190" spans="3:7" ht="15.75" thickBot="1" x14ac:dyDescent="0.3">
      <c r="C190" s="195"/>
      <c r="D190" s="193" t="s">
        <v>254</v>
      </c>
      <c r="E190" s="194">
        <v>17</v>
      </c>
      <c r="F190" s="194"/>
      <c r="G190" s="194">
        <v>17</v>
      </c>
    </row>
    <row r="191" spans="3:7" ht="15.75" thickBot="1" x14ac:dyDescent="0.3">
      <c r="C191" s="195"/>
      <c r="D191" s="193" t="s">
        <v>369</v>
      </c>
      <c r="E191" s="194">
        <v>18</v>
      </c>
      <c r="F191" s="194">
        <v>1</v>
      </c>
      <c r="G191" s="194">
        <v>19</v>
      </c>
    </row>
    <row r="192" spans="3:7" ht="15.75" thickBot="1" x14ac:dyDescent="0.3">
      <c r="C192" s="195"/>
      <c r="D192" s="193" t="s">
        <v>370</v>
      </c>
      <c r="E192" s="194">
        <v>11</v>
      </c>
      <c r="F192" s="194"/>
      <c r="G192" s="194">
        <v>11</v>
      </c>
    </row>
    <row r="193" spans="3:7" ht="15.75" thickBot="1" x14ac:dyDescent="0.3">
      <c r="C193" s="195"/>
      <c r="D193" s="193" t="s">
        <v>371</v>
      </c>
      <c r="E193" s="194">
        <v>7</v>
      </c>
      <c r="F193" s="194"/>
      <c r="G193" s="194">
        <v>7</v>
      </c>
    </row>
    <row r="194" spans="3:7" ht="15.75" thickBot="1" x14ac:dyDescent="0.3">
      <c r="C194" s="195"/>
      <c r="D194" s="193" t="s">
        <v>259</v>
      </c>
      <c r="E194" s="194">
        <v>54</v>
      </c>
      <c r="F194" s="194"/>
      <c r="G194" s="194">
        <v>54</v>
      </c>
    </row>
    <row r="195" spans="3:7" ht="15.75" thickBot="1" x14ac:dyDescent="0.3">
      <c r="C195" s="195"/>
      <c r="D195" s="193" t="s">
        <v>372</v>
      </c>
      <c r="E195" s="194">
        <v>29</v>
      </c>
      <c r="F195" s="194"/>
      <c r="G195" s="194">
        <v>29</v>
      </c>
    </row>
    <row r="196" spans="3:7" ht="15.75" thickBot="1" x14ac:dyDescent="0.3">
      <c r="C196" s="195"/>
      <c r="D196" s="193" t="s">
        <v>319</v>
      </c>
      <c r="E196" s="194">
        <v>11</v>
      </c>
      <c r="F196" s="194"/>
      <c r="G196" s="194">
        <v>11</v>
      </c>
    </row>
    <row r="197" spans="3:7" ht="15.75" thickBot="1" x14ac:dyDescent="0.3">
      <c r="C197" s="195"/>
      <c r="D197" s="193" t="s">
        <v>320</v>
      </c>
      <c r="E197" s="194">
        <v>41</v>
      </c>
      <c r="F197" s="194"/>
      <c r="G197" s="194">
        <v>41</v>
      </c>
    </row>
    <row r="198" spans="3:7" ht="15.75" thickBot="1" x14ac:dyDescent="0.3">
      <c r="C198" s="195"/>
      <c r="D198" s="193" t="s">
        <v>373</v>
      </c>
      <c r="E198" s="194">
        <v>2</v>
      </c>
      <c r="F198" s="194"/>
      <c r="G198" s="194">
        <v>2</v>
      </c>
    </row>
    <row r="199" spans="3:7" ht="15.75" thickBot="1" x14ac:dyDescent="0.3">
      <c r="C199" s="195"/>
      <c r="D199" s="193" t="s">
        <v>279</v>
      </c>
      <c r="E199" s="194">
        <v>16</v>
      </c>
      <c r="F199" s="194"/>
      <c r="G199" s="194">
        <v>16</v>
      </c>
    </row>
    <row r="200" spans="3:7" ht="15.75" thickBot="1" x14ac:dyDescent="0.3">
      <c r="C200" s="195"/>
      <c r="D200" s="193" t="s">
        <v>326</v>
      </c>
      <c r="E200" s="194">
        <v>9</v>
      </c>
      <c r="F200" s="194"/>
      <c r="G200" s="194">
        <v>9</v>
      </c>
    </row>
    <row r="201" spans="3:7" ht="15.75" thickBot="1" x14ac:dyDescent="0.3">
      <c r="C201" s="195"/>
      <c r="D201" s="193" t="s">
        <v>356</v>
      </c>
      <c r="E201" s="194">
        <v>22</v>
      </c>
      <c r="F201" s="194">
        <v>3</v>
      </c>
      <c r="G201" s="194">
        <v>25</v>
      </c>
    </row>
    <row r="202" spans="3:7" ht="15.75" thickBot="1" x14ac:dyDescent="0.3">
      <c r="C202" s="195"/>
      <c r="D202" s="194" t="s">
        <v>249</v>
      </c>
      <c r="E202" s="194">
        <v>499</v>
      </c>
      <c r="F202" s="194">
        <v>8</v>
      </c>
      <c r="G202" s="194">
        <v>507</v>
      </c>
    </row>
    <row r="203" spans="3:7" ht="15.75" thickBot="1" x14ac:dyDescent="0.3">
      <c r="C203" s="196" t="s">
        <v>374</v>
      </c>
      <c r="D203" s="193" t="s">
        <v>295</v>
      </c>
      <c r="E203" s="194">
        <v>20</v>
      </c>
      <c r="F203" s="194"/>
      <c r="G203" s="194">
        <v>20</v>
      </c>
    </row>
    <row r="204" spans="3:7" ht="15.75" thickBot="1" x14ac:dyDescent="0.3">
      <c r="C204" s="195"/>
      <c r="D204" s="193" t="s">
        <v>252</v>
      </c>
      <c r="E204" s="194">
        <v>86</v>
      </c>
      <c r="F204" s="194"/>
      <c r="G204" s="194">
        <v>86</v>
      </c>
    </row>
    <row r="205" spans="3:7" ht="15.75" thickBot="1" x14ac:dyDescent="0.3">
      <c r="C205" s="195"/>
      <c r="D205" s="193" t="s">
        <v>375</v>
      </c>
      <c r="E205" s="194">
        <v>13</v>
      </c>
      <c r="F205" s="194"/>
      <c r="G205" s="194">
        <v>13</v>
      </c>
    </row>
    <row r="206" spans="3:7" ht="15.75" thickBot="1" x14ac:dyDescent="0.3">
      <c r="C206" s="195"/>
      <c r="D206" s="193" t="s">
        <v>268</v>
      </c>
      <c r="E206" s="194">
        <v>39</v>
      </c>
      <c r="F206" s="194"/>
      <c r="G206" s="194">
        <v>39</v>
      </c>
    </row>
    <row r="207" spans="3:7" ht="15.75" thickBot="1" x14ac:dyDescent="0.3">
      <c r="C207" s="195"/>
      <c r="D207" s="193" t="s">
        <v>309</v>
      </c>
      <c r="E207" s="194">
        <v>145</v>
      </c>
      <c r="F207" s="194"/>
      <c r="G207" s="194">
        <v>145</v>
      </c>
    </row>
    <row r="208" spans="3:7" ht="15.75" thickBot="1" x14ac:dyDescent="0.3">
      <c r="C208" s="195"/>
      <c r="D208" s="193" t="s">
        <v>376</v>
      </c>
      <c r="E208" s="194">
        <v>40</v>
      </c>
      <c r="F208" s="194"/>
      <c r="G208" s="194">
        <v>40</v>
      </c>
    </row>
    <row r="209" spans="3:7" ht="15.75" thickBot="1" x14ac:dyDescent="0.3">
      <c r="C209" s="195"/>
      <c r="D209" s="193" t="s">
        <v>311</v>
      </c>
      <c r="E209" s="194">
        <v>11</v>
      </c>
      <c r="F209" s="194"/>
      <c r="G209" s="194">
        <v>11</v>
      </c>
    </row>
    <row r="210" spans="3:7" ht="15.75" thickBot="1" x14ac:dyDescent="0.3">
      <c r="C210" s="195"/>
      <c r="D210" s="193" t="s">
        <v>377</v>
      </c>
      <c r="E210" s="194">
        <v>7</v>
      </c>
      <c r="F210" s="194"/>
      <c r="G210" s="194">
        <v>7</v>
      </c>
    </row>
    <row r="211" spans="3:7" ht="15.75" thickBot="1" x14ac:dyDescent="0.3">
      <c r="C211" s="195"/>
      <c r="D211" s="193" t="s">
        <v>313</v>
      </c>
      <c r="E211" s="194">
        <v>3</v>
      </c>
      <c r="F211" s="194"/>
      <c r="G211" s="194">
        <v>3</v>
      </c>
    </row>
    <row r="212" spans="3:7" ht="15.75" thickBot="1" x14ac:dyDescent="0.3">
      <c r="C212" s="195"/>
      <c r="D212" s="193" t="s">
        <v>378</v>
      </c>
      <c r="E212" s="194">
        <v>8</v>
      </c>
      <c r="F212" s="194"/>
      <c r="G212" s="194">
        <v>8</v>
      </c>
    </row>
    <row r="213" spans="3:7" ht="15.75" thickBot="1" x14ac:dyDescent="0.3">
      <c r="C213" s="195"/>
      <c r="D213" s="193" t="s">
        <v>245</v>
      </c>
      <c r="E213" s="194">
        <v>32</v>
      </c>
      <c r="F213" s="194"/>
      <c r="G213" s="194">
        <v>32</v>
      </c>
    </row>
    <row r="214" spans="3:7" ht="15.75" thickBot="1" x14ac:dyDescent="0.3">
      <c r="C214" s="195"/>
      <c r="D214" s="193" t="s">
        <v>272</v>
      </c>
      <c r="E214" s="194">
        <v>21</v>
      </c>
      <c r="F214" s="194"/>
      <c r="G214" s="194">
        <v>21</v>
      </c>
    </row>
    <row r="215" spans="3:7" ht="15.75" thickBot="1" x14ac:dyDescent="0.3">
      <c r="C215" s="195"/>
      <c r="D215" s="193" t="s">
        <v>379</v>
      </c>
      <c r="E215" s="194">
        <v>6</v>
      </c>
      <c r="F215" s="194"/>
      <c r="G215" s="194">
        <v>6</v>
      </c>
    </row>
    <row r="216" spans="3:7" ht="15.75" thickBot="1" x14ac:dyDescent="0.3">
      <c r="C216" s="195"/>
      <c r="D216" s="193" t="s">
        <v>380</v>
      </c>
      <c r="E216" s="194">
        <v>4</v>
      </c>
      <c r="F216" s="194"/>
      <c r="G216" s="194">
        <v>4</v>
      </c>
    </row>
    <row r="217" spans="3:7" ht="15.75" thickBot="1" x14ac:dyDescent="0.3">
      <c r="C217" s="195"/>
      <c r="D217" s="193" t="s">
        <v>381</v>
      </c>
      <c r="E217" s="194">
        <v>67</v>
      </c>
      <c r="F217" s="194"/>
      <c r="G217" s="194">
        <v>67</v>
      </c>
    </row>
    <row r="218" spans="3:7" ht="15.75" thickBot="1" x14ac:dyDescent="0.3">
      <c r="C218" s="195"/>
      <c r="D218" s="193" t="s">
        <v>382</v>
      </c>
      <c r="E218" s="194">
        <v>144</v>
      </c>
      <c r="F218" s="194">
        <v>5</v>
      </c>
      <c r="G218" s="194">
        <v>149</v>
      </c>
    </row>
    <row r="219" spans="3:7" ht="15.75" thickBot="1" x14ac:dyDescent="0.3">
      <c r="C219" s="195"/>
      <c r="D219" s="193" t="s">
        <v>290</v>
      </c>
      <c r="E219" s="194">
        <v>22</v>
      </c>
      <c r="F219" s="194">
        <v>3</v>
      </c>
      <c r="G219" s="194">
        <v>25</v>
      </c>
    </row>
    <row r="220" spans="3:7" ht="15.75" thickBot="1" x14ac:dyDescent="0.3">
      <c r="C220" s="195"/>
      <c r="D220" s="193" t="s">
        <v>257</v>
      </c>
      <c r="E220" s="194">
        <v>22</v>
      </c>
      <c r="F220" s="194"/>
      <c r="G220" s="194">
        <v>22</v>
      </c>
    </row>
    <row r="221" spans="3:7" ht="15.75" thickBot="1" x14ac:dyDescent="0.3">
      <c r="C221" s="195"/>
      <c r="D221" s="193" t="s">
        <v>248</v>
      </c>
      <c r="E221" s="194">
        <v>233</v>
      </c>
      <c r="F221" s="194">
        <v>2</v>
      </c>
      <c r="G221" s="194">
        <v>235</v>
      </c>
    </row>
    <row r="222" spans="3:7" ht="15.75" thickBot="1" x14ac:dyDescent="0.3">
      <c r="C222" s="195"/>
      <c r="D222" s="193" t="s">
        <v>259</v>
      </c>
      <c r="E222" s="194">
        <v>59</v>
      </c>
      <c r="F222" s="194"/>
      <c r="G222" s="194">
        <v>59</v>
      </c>
    </row>
    <row r="223" spans="3:7" ht="15.75" thickBot="1" x14ac:dyDescent="0.3">
      <c r="C223" s="195"/>
      <c r="D223" s="194" t="s">
        <v>249</v>
      </c>
      <c r="E223" s="194">
        <v>982</v>
      </c>
      <c r="F223" s="194">
        <v>10</v>
      </c>
      <c r="G223" s="194">
        <v>992</v>
      </c>
    </row>
    <row r="224" spans="3:7" ht="15.75" thickBot="1" x14ac:dyDescent="0.3">
      <c r="C224" s="196" t="s">
        <v>383</v>
      </c>
      <c r="D224" s="193" t="s">
        <v>328</v>
      </c>
      <c r="E224" s="194">
        <v>44</v>
      </c>
      <c r="F224" s="194"/>
      <c r="G224" s="194">
        <v>44</v>
      </c>
    </row>
    <row r="225" spans="3:7" ht="15.75" thickBot="1" x14ac:dyDescent="0.3">
      <c r="C225" s="195"/>
      <c r="D225" s="193" t="s">
        <v>309</v>
      </c>
      <c r="E225" s="194">
        <v>34</v>
      </c>
      <c r="F225" s="194"/>
      <c r="G225" s="194">
        <v>34</v>
      </c>
    </row>
    <row r="226" spans="3:7" ht="15.75" thickBot="1" x14ac:dyDescent="0.3">
      <c r="C226" s="195"/>
      <c r="D226" s="193" t="s">
        <v>311</v>
      </c>
      <c r="E226" s="194">
        <v>38</v>
      </c>
      <c r="F226" s="194"/>
      <c r="G226" s="194">
        <v>38</v>
      </c>
    </row>
    <row r="227" spans="3:7" ht="15.75" thickBot="1" x14ac:dyDescent="0.3">
      <c r="C227" s="195"/>
      <c r="D227" s="193" t="s">
        <v>254</v>
      </c>
      <c r="E227" s="194">
        <v>8</v>
      </c>
      <c r="F227" s="194"/>
      <c r="G227" s="194">
        <v>8</v>
      </c>
    </row>
    <row r="228" spans="3:7" ht="15.75" thickBot="1" x14ac:dyDescent="0.3">
      <c r="C228" s="195"/>
      <c r="D228" s="193" t="s">
        <v>384</v>
      </c>
      <c r="E228" s="194">
        <v>35</v>
      </c>
      <c r="F228" s="194"/>
      <c r="G228" s="194">
        <v>35</v>
      </c>
    </row>
    <row r="229" spans="3:7" ht="15.75" thickBot="1" x14ac:dyDescent="0.3">
      <c r="C229" s="195"/>
      <c r="D229" s="193" t="s">
        <v>385</v>
      </c>
      <c r="E229" s="194">
        <v>61</v>
      </c>
      <c r="F229" s="194"/>
      <c r="G229" s="194">
        <v>61</v>
      </c>
    </row>
    <row r="230" spans="3:7" ht="15.75" thickBot="1" x14ac:dyDescent="0.3">
      <c r="C230" s="195"/>
      <c r="D230" s="193" t="s">
        <v>319</v>
      </c>
      <c r="E230" s="194">
        <v>11</v>
      </c>
      <c r="F230" s="194"/>
      <c r="G230" s="194">
        <v>11</v>
      </c>
    </row>
    <row r="231" spans="3:7" ht="15.75" thickBot="1" x14ac:dyDescent="0.3">
      <c r="C231" s="195"/>
      <c r="D231" s="193" t="s">
        <v>386</v>
      </c>
      <c r="E231" s="194">
        <v>7</v>
      </c>
      <c r="F231" s="194"/>
      <c r="G231" s="194">
        <v>7</v>
      </c>
    </row>
    <row r="232" spans="3:7" ht="15.75" thickBot="1" x14ac:dyDescent="0.3">
      <c r="C232" s="195"/>
      <c r="D232" s="193" t="s">
        <v>354</v>
      </c>
      <c r="E232" s="194">
        <v>30</v>
      </c>
      <c r="F232" s="194"/>
      <c r="G232" s="194">
        <v>30</v>
      </c>
    </row>
    <row r="233" spans="3:7" ht="15.75" thickBot="1" x14ac:dyDescent="0.3">
      <c r="C233" s="195"/>
      <c r="D233" s="193" t="s">
        <v>298</v>
      </c>
      <c r="E233" s="194">
        <v>5</v>
      </c>
      <c r="F233" s="194"/>
      <c r="G233" s="194">
        <v>5</v>
      </c>
    </row>
    <row r="234" spans="3:7" ht="15.75" thickBot="1" x14ac:dyDescent="0.3">
      <c r="C234" s="195"/>
      <c r="D234" s="194" t="s">
        <v>249</v>
      </c>
      <c r="E234" s="194">
        <v>273</v>
      </c>
      <c r="F234" s="194"/>
      <c r="G234" s="194">
        <v>273</v>
      </c>
    </row>
    <row r="235" spans="3:7" ht="15.75" thickBot="1" x14ac:dyDescent="0.3">
      <c r="C235" s="196" t="s">
        <v>387</v>
      </c>
      <c r="D235" s="193" t="s">
        <v>264</v>
      </c>
      <c r="E235" s="194">
        <v>72</v>
      </c>
      <c r="F235" s="194"/>
      <c r="G235" s="194">
        <v>72</v>
      </c>
    </row>
    <row r="236" spans="3:7" ht="15.75" thickBot="1" x14ac:dyDescent="0.3">
      <c r="C236" s="195"/>
      <c r="D236" s="193" t="s">
        <v>310</v>
      </c>
      <c r="E236" s="194">
        <v>83</v>
      </c>
      <c r="F236" s="194">
        <v>1</v>
      </c>
      <c r="G236" s="194">
        <v>84</v>
      </c>
    </row>
    <row r="237" spans="3:7" ht="15.75" thickBot="1" x14ac:dyDescent="0.3">
      <c r="C237" s="195"/>
      <c r="D237" s="193" t="s">
        <v>253</v>
      </c>
      <c r="E237" s="194">
        <v>19</v>
      </c>
      <c r="F237" s="194"/>
      <c r="G237" s="194">
        <v>19</v>
      </c>
    </row>
    <row r="238" spans="3:7" ht="15.75" thickBot="1" x14ac:dyDescent="0.3">
      <c r="C238" s="195"/>
      <c r="D238" s="193" t="s">
        <v>245</v>
      </c>
      <c r="E238" s="194">
        <v>19</v>
      </c>
      <c r="F238" s="194"/>
      <c r="G238" s="194">
        <v>19</v>
      </c>
    </row>
    <row r="239" spans="3:7" ht="15.75" thickBot="1" x14ac:dyDescent="0.3">
      <c r="C239" s="195"/>
      <c r="D239" s="193" t="s">
        <v>388</v>
      </c>
      <c r="E239" s="194">
        <v>43</v>
      </c>
      <c r="F239" s="194">
        <v>1</v>
      </c>
      <c r="G239" s="194">
        <v>44</v>
      </c>
    </row>
    <row r="240" spans="3:7" ht="15.75" thickBot="1" x14ac:dyDescent="0.3">
      <c r="C240" s="195"/>
      <c r="D240" s="193" t="s">
        <v>290</v>
      </c>
      <c r="E240" s="194">
        <v>14</v>
      </c>
      <c r="F240" s="194"/>
      <c r="G240" s="194">
        <v>14</v>
      </c>
    </row>
    <row r="241" spans="3:7" ht="15.75" thickBot="1" x14ac:dyDescent="0.3">
      <c r="C241" s="195"/>
      <c r="D241" s="193" t="s">
        <v>303</v>
      </c>
      <c r="E241" s="194">
        <v>99</v>
      </c>
      <c r="F241" s="194">
        <v>1</v>
      </c>
      <c r="G241" s="194">
        <v>100</v>
      </c>
    </row>
    <row r="242" spans="3:7" ht="15.75" thickBot="1" x14ac:dyDescent="0.3">
      <c r="C242" s="195"/>
      <c r="D242" s="193" t="s">
        <v>315</v>
      </c>
      <c r="E242" s="194">
        <v>17</v>
      </c>
      <c r="F242" s="194"/>
      <c r="G242" s="194">
        <v>17</v>
      </c>
    </row>
    <row r="243" spans="3:7" ht="15.75" thickBot="1" x14ac:dyDescent="0.3">
      <c r="C243" s="195"/>
      <c r="D243" s="193" t="s">
        <v>257</v>
      </c>
      <c r="E243" s="194">
        <v>17</v>
      </c>
      <c r="F243" s="194"/>
      <c r="G243" s="194">
        <v>17</v>
      </c>
    </row>
    <row r="244" spans="3:7" ht="15.75" thickBot="1" x14ac:dyDescent="0.3">
      <c r="C244" s="195"/>
      <c r="D244" s="193" t="s">
        <v>259</v>
      </c>
      <c r="E244" s="194">
        <v>5</v>
      </c>
      <c r="F244" s="194"/>
      <c r="G244" s="194">
        <v>5</v>
      </c>
    </row>
    <row r="245" spans="3:7" ht="15.75" thickBot="1" x14ac:dyDescent="0.3">
      <c r="C245" s="195"/>
      <c r="D245" s="193" t="s">
        <v>261</v>
      </c>
      <c r="E245" s="194">
        <v>114</v>
      </c>
      <c r="F245" s="194">
        <v>44</v>
      </c>
      <c r="G245" s="194">
        <v>158</v>
      </c>
    </row>
    <row r="246" spans="3:7" ht="15.75" thickBot="1" x14ac:dyDescent="0.3">
      <c r="C246" s="195"/>
      <c r="D246" s="194" t="s">
        <v>249</v>
      </c>
      <c r="E246" s="194">
        <v>502</v>
      </c>
      <c r="F246" s="194">
        <v>47</v>
      </c>
      <c r="G246" s="194">
        <v>549</v>
      </c>
    </row>
    <row r="247" spans="3:7" ht="15.75" thickBot="1" x14ac:dyDescent="0.3">
      <c r="C247" s="196" t="s">
        <v>389</v>
      </c>
      <c r="D247" s="193"/>
      <c r="E247" s="194">
        <v>174</v>
      </c>
      <c r="F247" s="194">
        <v>2</v>
      </c>
      <c r="G247" s="194">
        <v>176</v>
      </c>
    </row>
    <row r="248" spans="3:7" ht="15.75" thickBot="1" x14ac:dyDescent="0.3">
      <c r="C248" s="195"/>
      <c r="D248" s="193" t="s">
        <v>328</v>
      </c>
      <c r="E248" s="194">
        <v>7</v>
      </c>
      <c r="F248" s="194"/>
      <c r="G248" s="194">
        <v>7</v>
      </c>
    </row>
    <row r="249" spans="3:7" ht="15.75" thickBot="1" x14ac:dyDescent="0.3">
      <c r="C249" s="195"/>
      <c r="D249" s="193" t="s">
        <v>242</v>
      </c>
      <c r="E249" s="194">
        <v>1</v>
      </c>
      <c r="F249" s="194"/>
      <c r="G249" s="194">
        <v>1</v>
      </c>
    </row>
    <row r="250" spans="3:7" ht="15.75" thickBot="1" x14ac:dyDescent="0.3">
      <c r="C250" s="195"/>
      <c r="D250" s="193" t="s">
        <v>264</v>
      </c>
      <c r="E250" s="194">
        <v>19</v>
      </c>
      <c r="F250" s="194">
        <v>1</v>
      </c>
      <c r="G250" s="194">
        <v>20</v>
      </c>
    </row>
    <row r="251" spans="3:7" ht="15.75" thickBot="1" x14ac:dyDescent="0.3">
      <c r="C251" s="195"/>
      <c r="D251" s="193" t="s">
        <v>296</v>
      </c>
      <c r="E251" s="194">
        <v>6</v>
      </c>
      <c r="F251" s="194">
        <v>1</v>
      </c>
      <c r="G251" s="194">
        <v>7</v>
      </c>
    </row>
    <row r="252" spans="3:7" ht="15.75" thickBot="1" x14ac:dyDescent="0.3">
      <c r="C252" s="195"/>
      <c r="D252" s="193" t="s">
        <v>390</v>
      </c>
      <c r="E252" s="194">
        <v>28</v>
      </c>
      <c r="F252" s="194"/>
      <c r="G252" s="194">
        <v>28</v>
      </c>
    </row>
    <row r="253" spans="3:7" ht="15.75" thickBot="1" x14ac:dyDescent="0.3">
      <c r="C253" s="195"/>
      <c r="D253" s="193" t="s">
        <v>253</v>
      </c>
      <c r="E253" s="194">
        <v>13</v>
      </c>
      <c r="F253" s="194"/>
      <c r="G253" s="194">
        <v>13</v>
      </c>
    </row>
    <row r="254" spans="3:7" ht="15.75" thickBot="1" x14ac:dyDescent="0.3">
      <c r="C254" s="195"/>
      <c r="D254" s="193" t="s">
        <v>391</v>
      </c>
      <c r="E254" s="194">
        <v>22</v>
      </c>
      <c r="F254" s="194"/>
      <c r="G254" s="194">
        <v>22</v>
      </c>
    </row>
    <row r="255" spans="3:7" ht="15.75" thickBot="1" x14ac:dyDescent="0.3">
      <c r="C255" s="195"/>
      <c r="D255" s="193" t="s">
        <v>312</v>
      </c>
      <c r="E255" s="194">
        <v>35</v>
      </c>
      <c r="F255" s="194">
        <v>1</v>
      </c>
      <c r="G255" s="194">
        <v>36</v>
      </c>
    </row>
    <row r="256" spans="3:7" ht="15.75" thickBot="1" x14ac:dyDescent="0.3">
      <c r="C256" s="195"/>
      <c r="D256" s="193" t="s">
        <v>245</v>
      </c>
      <c r="E256" s="194">
        <v>56</v>
      </c>
      <c r="F256" s="194">
        <v>1</v>
      </c>
      <c r="G256" s="194">
        <v>57</v>
      </c>
    </row>
    <row r="257" spans="3:7" ht="15.75" thickBot="1" x14ac:dyDescent="0.3">
      <c r="C257" s="195"/>
      <c r="D257" s="193" t="s">
        <v>392</v>
      </c>
      <c r="E257" s="194">
        <v>81</v>
      </c>
      <c r="F257" s="194"/>
      <c r="G257" s="194">
        <v>81</v>
      </c>
    </row>
    <row r="258" spans="3:7" ht="15.75" thickBot="1" x14ac:dyDescent="0.3">
      <c r="C258" s="195"/>
      <c r="D258" s="193" t="s">
        <v>254</v>
      </c>
      <c r="E258" s="194">
        <v>5</v>
      </c>
      <c r="F258" s="194"/>
      <c r="G258" s="194">
        <v>5</v>
      </c>
    </row>
    <row r="259" spans="3:7" ht="15.75" thickBot="1" x14ac:dyDescent="0.3">
      <c r="C259" s="195"/>
      <c r="D259" s="193" t="s">
        <v>393</v>
      </c>
      <c r="E259" s="194">
        <v>3</v>
      </c>
      <c r="F259" s="194"/>
      <c r="G259" s="194">
        <v>3</v>
      </c>
    </row>
    <row r="260" spans="3:7" ht="15.75" thickBot="1" x14ac:dyDescent="0.3">
      <c r="C260" s="195"/>
      <c r="D260" s="193" t="s">
        <v>384</v>
      </c>
      <c r="E260" s="194">
        <v>14</v>
      </c>
      <c r="F260" s="194"/>
      <c r="G260" s="194">
        <v>14</v>
      </c>
    </row>
    <row r="261" spans="3:7" ht="15.75" thickBot="1" x14ac:dyDescent="0.3">
      <c r="C261" s="195"/>
      <c r="D261" s="193" t="s">
        <v>381</v>
      </c>
      <c r="E261" s="194">
        <v>27</v>
      </c>
      <c r="F261" s="194">
        <v>2</v>
      </c>
      <c r="G261" s="194">
        <v>29</v>
      </c>
    </row>
    <row r="262" spans="3:7" ht="15.75" thickBot="1" x14ac:dyDescent="0.3">
      <c r="C262" s="195"/>
      <c r="D262" s="193" t="s">
        <v>369</v>
      </c>
      <c r="E262" s="194">
        <v>10</v>
      </c>
      <c r="F262" s="194">
        <v>1</v>
      </c>
      <c r="G262" s="194">
        <v>11</v>
      </c>
    </row>
    <row r="263" spans="3:7" ht="15.75" thickBot="1" x14ac:dyDescent="0.3">
      <c r="C263" s="195"/>
      <c r="D263" s="193" t="s">
        <v>273</v>
      </c>
      <c r="E263" s="194">
        <v>30</v>
      </c>
      <c r="F263" s="194"/>
      <c r="G263" s="194">
        <v>30</v>
      </c>
    </row>
    <row r="264" spans="3:7" ht="15.75" thickBot="1" x14ac:dyDescent="0.3">
      <c r="C264" s="195"/>
      <c r="D264" s="193" t="s">
        <v>394</v>
      </c>
      <c r="E264" s="194">
        <v>152</v>
      </c>
      <c r="F264" s="194">
        <v>1</v>
      </c>
      <c r="G264" s="194">
        <v>153</v>
      </c>
    </row>
    <row r="265" spans="3:7" ht="15.75" thickBot="1" x14ac:dyDescent="0.3">
      <c r="C265" s="195"/>
      <c r="D265" s="193" t="s">
        <v>303</v>
      </c>
      <c r="E265" s="194">
        <v>71</v>
      </c>
      <c r="F265" s="194"/>
      <c r="G265" s="194">
        <v>71</v>
      </c>
    </row>
    <row r="266" spans="3:7" ht="15.75" thickBot="1" x14ac:dyDescent="0.3">
      <c r="C266" s="195"/>
      <c r="D266" s="193" t="s">
        <v>256</v>
      </c>
      <c r="E266" s="194">
        <v>36</v>
      </c>
      <c r="F266" s="194"/>
      <c r="G266" s="194">
        <v>36</v>
      </c>
    </row>
    <row r="267" spans="3:7" ht="15.75" thickBot="1" x14ac:dyDescent="0.3">
      <c r="C267" s="195"/>
      <c r="D267" s="193" t="s">
        <v>395</v>
      </c>
      <c r="E267" s="194">
        <v>34</v>
      </c>
      <c r="F267" s="194"/>
      <c r="G267" s="194">
        <v>34</v>
      </c>
    </row>
    <row r="268" spans="3:7" ht="15.75" thickBot="1" x14ac:dyDescent="0.3">
      <c r="C268" s="195"/>
      <c r="D268" s="193" t="s">
        <v>396</v>
      </c>
      <c r="E268" s="194">
        <v>20</v>
      </c>
      <c r="F268" s="194">
        <v>1</v>
      </c>
      <c r="G268" s="194">
        <v>21</v>
      </c>
    </row>
    <row r="269" spans="3:7" ht="15.75" thickBot="1" x14ac:dyDescent="0.3">
      <c r="C269" s="195"/>
      <c r="D269" s="193" t="s">
        <v>257</v>
      </c>
      <c r="E269" s="194">
        <v>15</v>
      </c>
      <c r="F269" s="194"/>
      <c r="G269" s="194">
        <v>15</v>
      </c>
    </row>
    <row r="270" spans="3:7" ht="15.75" thickBot="1" x14ac:dyDescent="0.3">
      <c r="C270" s="195"/>
      <c r="D270" s="193" t="s">
        <v>397</v>
      </c>
      <c r="E270" s="194">
        <v>60</v>
      </c>
      <c r="F270" s="194"/>
      <c r="G270" s="194">
        <v>60</v>
      </c>
    </row>
    <row r="271" spans="3:7" ht="15.75" thickBot="1" x14ac:dyDescent="0.3">
      <c r="C271" s="195"/>
      <c r="D271" s="193" t="s">
        <v>398</v>
      </c>
      <c r="E271" s="194">
        <v>24</v>
      </c>
      <c r="F271" s="194"/>
      <c r="G271" s="194">
        <v>24</v>
      </c>
    </row>
    <row r="272" spans="3:7" ht="15.75" thickBot="1" x14ac:dyDescent="0.3">
      <c r="C272" s="195"/>
      <c r="D272" s="193" t="s">
        <v>361</v>
      </c>
      <c r="E272" s="194">
        <v>16</v>
      </c>
      <c r="F272" s="194"/>
      <c r="G272" s="194">
        <v>16</v>
      </c>
    </row>
    <row r="273" spans="3:7" ht="15.75" thickBot="1" x14ac:dyDescent="0.3">
      <c r="C273" s="195"/>
      <c r="D273" s="193" t="s">
        <v>399</v>
      </c>
      <c r="E273" s="194">
        <v>16</v>
      </c>
      <c r="F273" s="194"/>
      <c r="G273" s="194">
        <v>16</v>
      </c>
    </row>
    <row r="274" spans="3:7" ht="15.75" thickBot="1" x14ac:dyDescent="0.3">
      <c r="C274" s="195"/>
      <c r="D274" s="193" t="s">
        <v>334</v>
      </c>
      <c r="E274" s="194">
        <v>21</v>
      </c>
      <c r="F274" s="194">
        <v>1</v>
      </c>
      <c r="G274" s="194">
        <v>22</v>
      </c>
    </row>
    <row r="275" spans="3:7" ht="15.75" thickBot="1" x14ac:dyDescent="0.3">
      <c r="C275" s="195"/>
      <c r="D275" s="193" t="s">
        <v>400</v>
      </c>
      <c r="E275" s="194">
        <v>36</v>
      </c>
      <c r="F275" s="194">
        <v>2</v>
      </c>
      <c r="G275" s="194">
        <v>38</v>
      </c>
    </row>
    <row r="276" spans="3:7" ht="15.75" thickBot="1" x14ac:dyDescent="0.3">
      <c r="C276" s="195"/>
      <c r="D276" s="193" t="s">
        <v>401</v>
      </c>
      <c r="E276" s="194">
        <v>1</v>
      </c>
      <c r="F276" s="194"/>
      <c r="G276" s="194">
        <v>1</v>
      </c>
    </row>
    <row r="277" spans="3:7" ht="15.75" thickBot="1" x14ac:dyDescent="0.3">
      <c r="C277" s="195"/>
      <c r="D277" s="193" t="s">
        <v>402</v>
      </c>
      <c r="E277" s="194">
        <v>47</v>
      </c>
      <c r="F277" s="194">
        <v>2</v>
      </c>
      <c r="G277" s="194">
        <v>49</v>
      </c>
    </row>
    <row r="278" spans="3:7" ht="15.75" thickBot="1" x14ac:dyDescent="0.3">
      <c r="C278" s="195"/>
      <c r="D278" s="193" t="s">
        <v>403</v>
      </c>
      <c r="E278" s="194">
        <v>140</v>
      </c>
      <c r="F278" s="194">
        <v>1</v>
      </c>
      <c r="G278" s="194">
        <v>141</v>
      </c>
    </row>
    <row r="279" spans="3:7" ht="15.75" thickBot="1" x14ac:dyDescent="0.3">
      <c r="C279" s="195"/>
      <c r="D279" s="194" t="s">
        <v>249</v>
      </c>
      <c r="E279" s="194">
        <v>1220</v>
      </c>
      <c r="F279" s="194">
        <v>17</v>
      </c>
      <c r="G279" s="194">
        <v>1237</v>
      </c>
    </row>
    <row r="280" spans="3:7" ht="15.75" thickBot="1" x14ac:dyDescent="0.3">
      <c r="C280" s="196" t="s">
        <v>404</v>
      </c>
      <c r="D280" s="193" t="s">
        <v>405</v>
      </c>
      <c r="E280" s="194">
        <v>31</v>
      </c>
      <c r="F280" s="194">
        <v>1</v>
      </c>
      <c r="G280" s="194">
        <v>32</v>
      </c>
    </row>
    <row r="281" spans="3:7" ht="15.75" thickBot="1" x14ac:dyDescent="0.3">
      <c r="C281" s="195"/>
      <c r="D281" s="193" t="s">
        <v>245</v>
      </c>
      <c r="E281" s="194">
        <v>19</v>
      </c>
      <c r="F281" s="194"/>
      <c r="G281" s="194">
        <v>19</v>
      </c>
    </row>
    <row r="282" spans="3:7" ht="15.75" thickBot="1" x14ac:dyDescent="0.3">
      <c r="C282" s="195"/>
      <c r="D282" s="193" t="s">
        <v>272</v>
      </c>
      <c r="E282" s="194">
        <v>50</v>
      </c>
      <c r="F282" s="194"/>
      <c r="G282" s="194">
        <v>50</v>
      </c>
    </row>
    <row r="283" spans="3:7" ht="15.75" thickBot="1" x14ac:dyDescent="0.3">
      <c r="C283" s="195"/>
      <c r="D283" s="193" t="s">
        <v>273</v>
      </c>
      <c r="E283" s="194">
        <v>77</v>
      </c>
      <c r="F283" s="194"/>
      <c r="G283" s="194">
        <v>77</v>
      </c>
    </row>
    <row r="284" spans="3:7" ht="15.75" thickBot="1" x14ac:dyDescent="0.3">
      <c r="C284" s="195"/>
      <c r="D284" s="193" t="s">
        <v>290</v>
      </c>
      <c r="E284" s="194">
        <v>134</v>
      </c>
      <c r="F284" s="194">
        <v>3</v>
      </c>
      <c r="G284" s="194">
        <v>137</v>
      </c>
    </row>
    <row r="285" spans="3:7" ht="15.75" thickBot="1" x14ac:dyDescent="0.3">
      <c r="C285" s="195"/>
      <c r="D285" s="193" t="s">
        <v>406</v>
      </c>
      <c r="E285" s="194">
        <v>4</v>
      </c>
      <c r="F285" s="194">
        <v>1</v>
      </c>
      <c r="G285" s="194">
        <v>5</v>
      </c>
    </row>
    <row r="286" spans="3:7" ht="15.75" thickBot="1" x14ac:dyDescent="0.3">
      <c r="C286" s="195"/>
      <c r="D286" s="193" t="s">
        <v>407</v>
      </c>
      <c r="E286" s="194">
        <v>15</v>
      </c>
      <c r="F286" s="194"/>
      <c r="G286" s="194">
        <v>15</v>
      </c>
    </row>
    <row r="287" spans="3:7" ht="15.75" thickBot="1" x14ac:dyDescent="0.3">
      <c r="C287" s="195"/>
      <c r="D287" s="193" t="s">
        <v>259</v>
      </c>
      <c r="E287" s="194">
        <v>16</v>
      </c>
      <c r="F287" s="194"/>
      <c r="G287" s="194">
        <v>16</v>
      </c>
    </row>
    <row r="288" spans="3:7" ht="15.75" thickBot="1" x14ac:dyDescent="0.3">
      <c r="C288" s="195"/>
      <c r="D288" s="193" t="s">
        <v>319</v>
      </c>
      <c r="E288" s="194">
        <v>22</v>
      </c>
      <c r="F288" s="194"/>
      <c r="G288" s="194">
        <v>22</v>
      </c>
    </row>
    <row r="289" spans="3:7" ht="15.75" thickBot="1" x14ac:dyDescent="0.3">
      <c r="C289" s="195"/>
      <c r="D289" s="193" t="s">
        <v>277</v>
      </c>
      <c r="E289" s="194">
        <v>352</v>
      </c>
      <c r="F289" s="194">
        <v>10</v>
      </c>
      <c r="G289" s="194">
        <v>362</v>
      </c>
    </row>
    <row r="290" spans="3:7" ht="15.75" thickBot="1" x14ac:dyDescent="0.3">
      <c r="C290" s="195"/>
      <c r="D290" s="193" t="s">
        <v>261</v>
      </c>
      <c r="E290" s="194">
        <v>31</v>
      </c>
      <c r="F290" s="194"/>
      <c r="G290" s="194">
        <v>31</v>
      </c>
    </row>
    <row r="291" spans="3:7" ht="15.75" thickBot="1" x14ac:dyDescent="0.3">
      <c r="C291" s="195"/>
      <c r="D291" s="193" t="s">
        <v>408</v>
      </c>
      <c r="E291" s="194">
        <v>3</v>
      </c>
      <c r="F291" s="194"/>
      <c r="G291" s="194">
        <v>3</v>
      </c>
    </row>
    <row r="292" spans="3:7" ht="15.75" thickBot="1" x14ac:dyDescent="0.3">
      <c r="C292" s="195"/>
      <c r="D292" s="194" t="s">
        <v>249</v>
      </c>
      <c r="E292" s="194">
        <v>754</v>
      </c>
      <c r="F292" s="194">
        <v>15</v>
      </c>
      <c r="G292" s="194">
        <v>769</v>
      </c>
    </row>
    <row r="293" spans="3:7" ht="15.75" thickBot="1" x14ac:dyDescent="0.3">
      <c r="C293" s="196" t="s">
        <v>409</v>
      </c>
      <c r="D293" s="193"/>
      <c r="E293" s="194">
        <v>260</v>
      </c>
      <c r="F293" s="194">
        <v>7</v>
      </c>
      <c r="G293" s="194">
        <v>267</v>
      </c>
    </row>
    <row r="294" spans="3:7" ht="15.75" thickBot="1" x14ac:dyDescent="0.3">
      <c r="C294" s="195"/>
      <c r="D294" s="193" t="s">
        <v>245</v>
      </c>
      <c r="E294" s="194">
        <v>7</v>
      </c>
      <c r="F294" s="194"/>
      <c r="G294" s="194">
        <v>7</v>
      </c>
    </row>
    <row r="295" spans="3:7" ht="15.75" thickBot="1" x14ac:dyDescent="0.3">
      <c r="C295" s="195"/>
      <c r="D295" s="193" t="s">
        <v>410</v>
      </c>
      <c r="E295" s="194">
        <v>16</v>
      </c>
      <c r="F295" s="194"/>
      <c r="G295" s="194">
        <v>16</v>
      </c>
    </row>
    <row r="296" spans="3:7" ht="15.75" thickBot="1" x14ac:dyDescent="0.3">
      <c r="C296" s="195"/>
      <c r="D296" s="193" t="s">
        <v>259</v>
      </c>
      <c r="E296" s="194">
        <v>22</v>
      </c>
      <c r="F296" s="194"/>
      <c r="G296" s="194">
        <v>22</v>
      </c>
    </row>
    <row r="297" spans="3:7" ht="15.75" thickBot="1" x14ac:dyDescent="0.3">
      <c r="C297" s="195"/>
      <c r="D297" s="194" t="s">
        <v>249</v>
      </c>
      <c r="E297" s="194">
        <v>305</v>
      </c>
      <c r="F297" s="194">
        <v>7</v>
      </c>
      <c r="G297" s="194">
        <v>312</v>
      </c>
    </row>
    <row r="298" spans="3:7" ht="15.75" thickBot="1" x14ac:dyDescent="0.3">
      <c r="C298" s="196" t="s">
        <v>411</v>
      </c>
      <c r="D298" s="193"/>
      <c r="E298" s="194">
        <v>77</v>
      </c>
      <c r="F298" s="194"/>
      <c r="G298" s="194">
        <v>77</v>
      </c>
    </row>
    <row r="299" spans="3:7" ht="15.75" thickBot="1" x14ac:dyDescent="0.3">
      <c r="C299" s="192" t="s">
        <v>412</v>
      </c>
      <c r="D299" s="193"/>
      <c r="E299" s="194">
        <v>606</v>
      </c>
      <c r="F299" s="194">
        <v>3</v>
      </c>
      <c r="G299" s="194">
        <v>609</v>
      </c>
    </row>
    <row r="300" spans="3:7" ht="15.75" thickBot="1" x14ac:dyDescent="0.3">
      <c r="C300" s="195"/>
      <c r="D300" s="193" t="s">
        <v>364</v>
      </c>
      <c r="E300" s="194">
        <v>4</v>
      </c>
      <c r="F300" s="194"/>
      <c r="G300" s="194">
        <v>4</v>
      </c>
    </row>
    <row r="301" spans="3:7" ht="15.75" thickBot="1" x14ac:dyDescent="0.3">
      <c r="C301" s="195"/>
      <c r="D301" s="194" t="s">
        <v>249</v>
      </c>
      <c r="E301" s="194">
        <v>610</v>
      </c>
      <c r="F301" s="194">
        <v>3</v>
      </c>
      <c r="G301" s="194">
        <v>613</v>
      </c>
    </row>
    <row r="302" spans="3:7" ht="15.75" thickBot="1" x14ac:dyDescent="0.3">
      <c r="C302" s="196" t="s">
        <v>413</v>
      </c>
      <c r="D302" s="193"/>
      <c r="E302" s="194">
        <v>721</v>
      </c>
      <c r="F302" s="194">
        <v>5</v>
      </c>
      <c r="G302" s="194">
        <v>726</v>
      </c>
    </row>
    <row r="303" spans="3:7" ht="15.75" thickBot="1" x14ac:dyDescent="0.3">
      <c r="C303" s="192" t="s">
        <v>414</v>
      </c>
      <c r="D303" s="193"/>
      <c r="E303" s="194">
        <v>1</v>
      </c>
      <c r="F303" s="194"/>
      <c r="G303" s="194">
        <v>1</v>
      </c>
    </row>
    <row r="304" spans="3:7" ht="15.75" thickBot="1" x14ac:dyDescent="0.3">
      <c r="C304" s="195"/>
      <c r="D304" s="193" t="s">
        <v>286</v>
      </c>
      <c r="E304" s="194">
        <v>63</v>
      </c>
      <c r="F304" s="194">
        <v>1</v>
      </c>
      <c r="G304" s="194">
        <v>64</v>
      </c>
    </row>
    <row r="305" spans="3:7" ht="15.75" thickBot="1" x14ac:dyDescent="0.3">
      <c r="C305" s="195"/>
      <c r="D305" s="193" t="s">
        <v>311</v>
      </c>
      <c r="E305" s="194">
        <v>342</v>
      </c>
      <c r="F305" s="194">
        <v>1</v>
      </c>
      <c r="G305" s="194">
        <v>343</v>
      </c>
    </row>
    <row r="306" spans="3:7" ht="15.75" thickBot="1" x14ac:dyDescent="0.3">
      <c r="C306" s="195"/>
      <c r="D306" s="193" t="s">
        <v>415</v>
      </c>
      <c r="E306" s="194">
        <v>6</v>
      </c>
      <c r="F306" s="194"/>
      <c r="G306" s="194">
        <v>6</v>
      </c>
    </row>
    <row r="307" spans="3:7" ht="15.75" thickBot="1" x14ac:dyDescent="0.3">
      <c r="C307" s="195"/>
      <c r="D307" s="193" t="s">
        <v>245</v>
      </c>
      <c r="E307" s="194">
        <v>50</v>
      </c>
      <c r="F307" s="194"/>
      <c r="G307" s="194">
        <v>50</v>
      </c>
    </row>
    <row r="308" spans="3:7" ht="15.75" thickBot="1" x14ac:dyDescent="0.3">
      <c r="C308" s="195"/>
      <c r="D308" s="193" t="s">
        <v>272</v>
      </c>
      <c r="E308" s="194">
        <v>51</v>
      </c>
      <c r="F308" s="194"/>
      <c r="G308" s="194">
        <v>51</v>
      </c>
    </row>
    <row r="309" spans="3:7" ht="15.75" thickBot="1" x14ac:dyDescent="0.3">
      <c r="C309" s="195"/>
      <c r="D309" s="193" t="s">
        <v>407</v>
      </c>
      <c r="E309" s="194">
        <v>11</v>
      </c>
      <c r="F309" s="194"/>
      <c r="G309" s="194">
        <v>11</v>
      </c>
    </row>
    <row r="310" spans="3:7" ht="15.75" thickBot="1" x14ac:dyDescent="0.3">
      <c r="C310" s="195"/>
      <c r="D310" s="193" t="s">
        <v>277</v>
      </c>
      <c r="E310" s="194">
        <v>110</v>
      </c>
      <c r="F310" s="194">
        <v>1</v>
      </c>
      <c r="G310" s="194">
        <v>111</v>
      </c>
    </row>
    <row r="311" spans="3:7" ht="15.75" thickBot="1" x14ac:dyDescent="0.3">
      <c r="C311" s="195"/>
      <c r="D311" s="193" t="s">
        <v>326</v>
      </c>
      <c r="E311" s="194">
        <v>12</v>
      </c>
      <c r="F311" s="194"/>
      <c r="G311" s="194">
        <v>12</v>
      </c>
    </row>
    <row r="312" spans="3:7" ht="15.75" thickBot="1" x14ac:dyDescent="0.3">
      <c r="C312" s="195"/>
      <c r="D312" s="194" t="s">
        <v>249</v>
      </c>
      <c r="E312" s="194">
        <v>646</v>
      </c>
      <c r="F312" s="194">
        <v>3</v>
      </c>
      <c r="G312" s="194">
        <v>649</v>
      </c>
    </row>
    <row r="313" spans="3:7" ht="15.75" thickBot="1" x14ac:dyDescent="0.3">
      <c r="C313" s="196" t="s">
        <v>416</v>
      </c>
      <c r="D313" s="193"/>
      <c r="E313" s="194">
        <v>246</v>
      </c>
      <c r="F313" s="194">
        <v>2</v>
      </c>
      <c r="G313" s="194">
        <v>248</v>
      </c>
    </row>
    <row r="314" spans="3:7" ht="15.75" thickBot="1" x14ac:dyDescent="0.3">
      <c r="C314" s="195"/>
      <c r="D314" s="193" t="s">
        <v>417</v>
      </c>
      <c r="E314" s="194">
        <v>8</v>
      </c>
      <c r="F314" s="194"/>
      <c r="G314" s="194">
        <v>8</v>
      </c>
    </row>
    <row r="315" spans="3:7" ht="15.75" thickBot="1" x14ac:dyDescent="0.3">
      <c r="C315" s="195"/>
      <c r="D315" s="193" t="s">
        <v>328</v>
      </c>
      <c r="E315" s="194">
        <v>4</v>
      </c>
      <c r="F315" s="194"/>
      <c r="G315" s="194">
        <v>4</v>
      </c>
    </row>
    <row r="316" spans="3:7" ht="15.75" thickBot="1" x14ac:dyDescent="0.3">
      <c r="C316" s="195"/>
      <c r="D316" s="193" t="s">
        <v>264</v>
      </c>
      <c r="E316" s="194">
        <v>8</v>
      </c>
      <c r="F316" s="194"/>
      <c r="G316" s="194">
        <v>8</v>
      </c>
    </row>
    <row r="317" spans="3:7" ht="15.75" thickBot="1" x14ac:dyDescent="0.3">
      <c r="C317" s="195"/>
      <c r="D317" s="193" t="s">
        <v>331</v>
      </c>
      <c r="E317" s="194">
        <v>7</v>
      </c>
      <c r="F317" s="194"/>
      <c r="G317" s="194">
        <v>7</v>
      </c>
    </row>
    <row r="318" spans="3:7" ht="15.75" thickBot="1" x14ac:dyDescent="0.3">
      <c r="C318" s="195"/>
      <c r="D318" s="194" t="s">
        <v>249</v>
      </c>
      <c r="E318" s="194">
        <v>273</v>
      </c>
      <c r="F318" s="194">
        <v>2</v>
      </c>
      <c r="G318" s="194">
        <v>275</v>
      </c>
    </row>
    <row r="319" spans="3:7" ht="15.75" thickBot="1" x14ac:dyDescent="0.3">
      <c r="C319" s="196" t="s">
        <v>418</v>
      </c>
      <c r="D319" s="193"/>
      <c r="E319" s="194">
        <v>616</v>
      </c>
      <c r="F319" s="194">
        <v>3</v>
      </c>
      <c r="G319" s="194">
        <v>619</v>
      </c>
    </row>
    <row r="320" spans="3:7" ht="15.75" thickBot="1" x14ac:dyDescent="0.3">
      <c r="C320" s="192" t="s">
        <v>419</v>
      </c>
      <c r="D320" s="193"/>
      <c r="E320" s="194">
        <v>231</v>
      </c>
      <c r="F320" s="194"/>
      <c r="G320" s="194">
        <v>231</v>
      </c>
    </row>
    <row r="321" spans="3:7" ht="15.75" thickBot="1" x14ac:dyDescent="0.3">
      <c r="C321" s="197"/>
      <c r="D321" s="198" t="s">
        <v>249</v>
      </c>
      <c r="E321" s="199">
        <v>16152</v>
      </c>
      <c r="F321" s="199">
        <v>200</v>
      </c>
      <c r="G321" s="197"/>
    </row>
    <row r="322" spans="3:7" ht="15.75" thickTop="1" x14ac:dyDescent="0.25">
      <c r="C322" s="189"/>
    </row>
    <row r="323" spans="3:7" x14ac:dyDescent="0.25">
      <c r="C323" s="189"/>
    </row>
    <row r="324" spans="3:7" x14ac:dyDescent="0.25">
      <c r="C324" s="200" t="s">
        <v>420</v>
      </c>
    </row>
  </sheetData>
  <mergeCells count="3">
    <mergeCell ref="C4:C5"/>
    <mergeCell ref="D4:D5"/>
    <mergeCell ref="E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8"/>
  <sheetViews>
    <sheetView topLeftCell="A40" workbookViewId="0">
      <selection activeCell="C62" sqref="C62"/>
    </sheetView>
  </sheetViews>
  <sheetFormatPr defaultRowHeight="15" x14ac:dyDescent="0.25"/>
  <cols>
    <col min="1" max="1" width="18.85546875" customWidth="1"/>
    <col min="2" max="2" width="17.140625" customWidth="1"/>
    <col min="3" max="3" width="17" customWidth="1"/>
    <col min="4" max="5" width="24.28515625" style="66" customWidth="1"/>
    <col min="6" max="7" width="24" style="66" customWidth="1"/>
    <col min="8" max="8" width="19.7109375" customWidth="1"/>
    <col min="9" max="9" width="20.140625" customWidth="1"/>
    <col min="10" max="10" width="20.5703125" customWidth="1"/>
    <col min="11" max="11" width="20.42578125" style="1" customWidth="1"/>
    <col min="12" max="12" width="17.28515625" customWidth="1"/>
    <col min="13" max="13" width="19.85546875" customWidth="1"/>
  </cols>
  <sheetData>
    <row r="1" spans="1:12" x14ac:dyDescent="0.25">
      <c r="A1" s="267" t="s">
        <v>458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2" s="86" customFormat="1" x14ac:dyDescent="0.25">
      <c r="A2" s="269" t="s">
        <v>459</v>
      </c>
      <c r="B2" s="270"/>
      <c r="C2" s="270"/>
      <c r="D2" s="270"/>
      <c r="E2" s="270"/>
      <c r="F2" s="270"/>
      <c r="G2" s="270"/>
      <c r="H2" s="270"/>
      <c r="I2" s="270"/>
      <c r="J2" s="270"/>
      <c r="K2" s="271"/>
    </row>
    <row r="3" spans="1:12" x14ac:dyDescent="0.25">
      <c r="A3" s="261" t="s">
        <v>460</v>
      </c>
      <c r="B3" s="263" t="s">
        <v>432</v>
      </c>
      <c r="C3" s="263" t="s">
        <v>461</v>
      </c>
      <c r="D3" s="264" t="s">
        <v>462</v>
      </c>
      <c r="E3" s="265"/>
      <c r="F3" s="265"/>
      <c r="G3" s="266"/>
      <c r="H3" s="272" t="s">
        <v>463</v>
      </c>
      <c r="I3" s="273"/>
      <c r="J3" s="273"/>
      <c r="K3" s="274"/>
    </row>
    <row r="4" spans="1:12" ht="90" x14ac:dyDescent="0.25">
      <c r="A4" s="261"/>
      <c r="B4" s="263"/>
      <c r="C4" s="263"/>
      <c r="D4" s="147" t="s">
        <v>464</v>
      </c>
      <c r="E4" s="147" t="s">
        <v>465</v>
      </c>
      <c r="F4" s="147" t="s">
        <v>466</v>
      </c>
      <c r="G4" s="147" t="s">
        <v>467</v>
      </c>
      <c r="H4" s="147" t="s">
        <v>468</v>
      </c>
      <c r="I4" s="147" t="s">
        <v>469</v>
      </c>
      <c r="J4" s="208" t="s">
        <v>470</v>
      </c>
      <c r="K4" s="209" t="s">
        <v>471</v>
      </c>
    </row>
    <row r="5" spans="1:12" x14ac:dyDescent="0.25">
      <c r="A5" s="1" t="s">
        <v>425</v>
      </c>
      <c r="B5" s="1">
        <v>252</v>
      </c>
      <c r="C5" s="1">
        <v>251</v>
      </c>
      <c r="D5" s="147">
        <v>24</v>
      </c>
      <c r="E5" s="147">
        <v>21</v>
      </c>
      <c r="F5" s="147">
        <v>222</v>
      </c>
      <c r="G5" s="147">
        <v>175</v>
      </c>
      <c r="H5" s="1">
        <v>5</v>
      </c>
      <c r="I5" s="1">
        <v>2</v>
      </c>
      <c r="J5" s="210">
        <v>3</v>
      </c>
      <c r="K5" s="1">
        <v>5</v>
      </c>
    </row>
    <row r="6" spans="1:12" x14ac:dyDescent="0.25">
      <c r="A6" s="1" t="s">
        <v>426</v>
      </c>
      <c r="B6" s="1">
        <v>245</v>
      </c>
      <c r="C6" s="1">
        <v>244</v>
      </c>
      <c r="D6" s="147">
        <v>18</v>
      </c>
      <c r="E6" s="147">
        <v>15</v>
      </c>
      <c r="F6" s="147">
        <v>166</v>
      </c>
      <c r="G6" s="147">
        <v>151</v>
      </c>
      <c r="H6" s="1">
        <v>60</v>
      </c>
      <c r="I6" s="1">
        <v>25</v>
      </c>
      <c r="J6" s="210">
        <v>66</v>
      </c>
      <c r="K6" s="1">
        <v>60</v>
      </c>
      <c r="L6" s="211"/>
    </row>
    <row r="7" spans="1:12" x14ac:dyDescent="0.25">
      <c r="A7" s="1" t="s">
        <v>427</v>
      </c>
      <c r="B7" s="1">
        <v>340</v>
      </c>
      <c r="C7" s="1">
        <v>340</v>
      </c>
      <c r="D7" s="147">
        <v>38</v>
      </c>
      <c r="E7" s="147">
        <v>30</v>
      </c>
      <c r="F7" s="147">
        <v>300</v>
      </c>
      <c r="G7" s="147">
        <v>150</v>
      </c>
      <c r="H7" s="1">
        <v>2</v>
      </c>
      <c r="I7" s="1">
        <v>5</v>
      </c>
      <c r="J7" s="210">
        <v>5</v>
      </c>
      <c r="K7" s="1">
        <v>2</v>
      </c>
    </row>
    <row r="8" spans="1:12" x14ac:dyDescent="0.25">
      <c r="A8" s="1" t="s">
        <v>428</v>
      </c>
      <c r="B8" s="1">
        <v>16</v>
      </c>
      <c r="C8" s="1">
        <v>16</v>
      </c>
      <c r="D8" s="147">
        <v>2</v>
      </c>
      <c r="E8" s="147">
        <v>1</v>
      </c>
      <c r="F8" s="147">
        <v>14</v>
      </c>
      <c r="G8" s="147">
        <v>150</v>
      </c>
      <c r="H8" s="1">
        <v>0</v>
      </c>
      <c r="I8" s="1">
        <v>0</v>
      </c>
      <c r="J8" s="210">
        <v>0</v>
      </c>
      <c r="K8" s="1">
        <v>0</v>
      </c>
    </row>
    <row r="9" spans="1:12" x14ac:dyDescent="0.25">
      <c r="A9" s="1" t="s">
        <v>429</v>
      </c>
      <c r="B9" s="1">
        <v>139</v>
      </c>
      <c r="C9" s="1">
        <v>139</v>
      </c>
      <c r="D9" s="147">
        <v>11</v>
      </c>
      <c r="E9" s="147">
        <v>5</v>
      </c>
      <c r="F9" s="147">
        <v>120</v>
      </c>
      <c r="G9" s="147">
        <v>150</v>
      </c>
      <c r="H9" s="1">
        <v>8</v>
      </c>
      <c r="I9" s="1">
        <v>0</v>
      </c>
      <c r="J9" s="210">
        <v>16</v>
      </c>
      <c r="K9" s="1">
        <v>8</v>
      </c>
    </row>
    <row r="10" spans="1:12" x14ac:dyDescent="0.25">
      <c r="A10" s="1" t="s">
        <v>430</v>
      </c>
      <c r="B10" s="1">
        <v>141</v>
      </c>
      <c r="C10" s="1">
        <v>141</v>
      </c>
      <c r="D10" s="147">
        <v>17</v>
      </c>
      <c r="E10" s="147">
        <v>14</v>
      </c>
      <c r="F10" s="147">
        <v>122</v>
      </c>
      <c r="G10" s="147">
        <v>150</v>
      </c>
      <c r="H10" s="1">
        <v>2</v>
      </c>
      <c r="I10" s="1">
        <v>2</v>
      </c>
      <c r="J10" s="210">
        <v>6</v>
      </c>
      <c r="K10" s="1">
        <v>2</v>
      </c>
    </row>
    <row r="11" spans="1:12" s="86" customFormat="1" x14ac:dyDescent="0.25">
      <c r="A11" s="180" t="s">
        <v>472</v>
      </c>
      <c r="B11" s="180">
        <f t="shared" ref="B11:K11" si="0">SUM(B5:B10)</f>
        <v>1133</v>
      </c>
      <c r="C11" s="180">
        <f t="shared" si="0"/>
        <v>1131</v>
      </c>
      <c r="D11" s="180">
        <f t="shared" si="0"/>
        <v>110</v>
      </c>
      <c r="E11" s="180">
        <f t="shared" si="0"/>
        <v>86</v>
      </c>
      <c r="F11" s="180">
        <f t="shared" si="0"/>
        <v>944</v>
      </c>
      <c r="G11" s="180">
        <f t="shared" si="0"/>
        <v>926</v>
      </c>
      <c r="H11" s="180">
        <f t="shared" si="0"/>
        <v>77</v>
      </c>
      <c r="I11" s="180">
        <f t="shared" si="0"/>
        <v>34</v>
      </c>
      <c r="J11" s="180">
        <f t="shared" si="0"/>
        <v>96</v>
      </c>
      <c r="K11" s="180">
        <f t="shared" si="0"/>
        <v>77</v>
      </c>
    </row>
    <row r="12" spans="1:12" s="86" customFormat="1" x14ac:dyDescent="0.25">
      <c r="A12" s="262" t="s">
        <v>431</v>
      </c>
      <c r="B12" s="262"/>
      <c r="C12" s="262"/>
      <c r="D12" s="262"/>
      <c r="E12" s="262"/>
      <c r="F12" s="262"/>
      <c r="G12" s="262"/>
      <c r="H12" s="262"/>
      <c r="I12" s="262"/>
      <c r="J12" s="262"/>
      <c r="K12" s="180"/>
    </row>
    <row r="13" spans="1:12" x14ac:dyDescent="0.25">
      <c r="A13" s="261" t="s">
        <v>460</v>
      </c>
      <c r="B13" s="263" t="s">
        <v>432</v>
      </c>
      <c r="C13" s="263" t="s">
        <v>461</v>
      </c>
      <c r="D13" s="264" t="s">
        <v>462</v>
      </c>
      <c r="E13" s="265"/>
      <c r="F13" s="265"/>
      <c r="G13" s="266"/>
      <c r="H13" s="261" t="s">
        <v>463</v>
      </c>
      <c r="I13" s="261"/>
      <c r="J13" s="261"/>
    </row>
    <row r="14" spans="1:12" ht="90" x14ac:dyDescent="0.25">
      <c r="A14" s="261"/>
      <c r="B14" s="263"/>
      <c r="C14" s="263"/>
      <c r="D14" s="147" t="s">
        <v>464</v>
      </c>
      <c r="E14" s="147" t="s">
        <v>473</v>
      </c>
      <c r="F14" s="147" t="s">
        <v>466</v>
      </c>
      <c r="G14" s="147" t="s">
        <v>474</v>
      </c>
      <c r="H14" s="147" t="s">
        <v>468</v>
      </c>
      <c r="I14" s="147" t="s">
        <v>469</v>
      </c>
      <c r="J14" s="208" t="s">
        <v>470</v>
      </c>
      <c r="K14" s="212" t="s">
        <v>471</v>
      </c>
    </row>
    <row r="15" spans="1:12" x14ac:dyDescent="0.25">
      <c r="A15" s="1" t="s">
        <v>433</v>
      </c>
      <c r="B15" s="1">
        <v>92</v>
      </c>
      <c r="C15" s="1">
        <v>92</v>
      </c>
      <c r="D15" s="147">
        <v>5</v>
      </c>
      <c r="E15" s="147">
        <v>2</v>
      </c>
      <c r="F15" s="147">
        <v>63</v>
      </c>
      <c r="G15" s="147">
        <v>40</v>
      </c>
      <c r="H15" s="1">
        <v>24</v>
      </c>
      <c r="I15" s="1">
        <v>8</v>
      </c>
      <c r="J15" s="210">
        <v>21</v>
      </c>
      <c r="K15" s="1">
        <v>21</v>
      </c>
      <c r="L15" t="s">
        <v>475</v>
      </c>
    </row>
    <row r="16" spans="1:12" x14ac:dyDescent="0.25">
      <c r="A16" s="1" t="s">
        <v>434</v>
      </c>
      <c r="B16" s="1">
        <v>55</v>
      </c>
      <c r="C16" s="1">
        <v>55</v>
      </c>
      <c r="D16" s="147">
        <v>6</v>
      </c>
      <c r="E16" s="147">
        <v>4</v>
      </c>
      <c r="F16" s="147">
        <v>48</v>
      </c>
      <c r="G16" s="147">
        <v>31</v>
      </c>
      <c r="H16" s="1">
        <v>1</v>
      </c>
      <c r="I16" s="1">
        <v>0</v>
      </c>
      <c r="J16" s="210">
        <v>8</v>
      </c>
      <c r="K16" s="1">
        <v>1</v>
      </c>
    </row>
    <row r="17" spans="1:13" x14ac:dyDescent="0.25">
      <c r="A17" s="1" t="s">
        <v>435</v>
      </c>
      <c r="B17" s="1">
        <v>225</v>
      </c>
      <c r="C17" s="1">
        <v>225</v>
      </c>
      <c r="D17" s="147">
        <v>22</v>
      </c>
      <c r="E17" s="147">
        <v>14</v>
      </c>
      <c r="F17" s="147">
        <v>202</v>
      </c>
      <c r="G17" s="147">
        <v>138</v>
      </c>
      <c r="H17" s="1">
        <v>1</v>
      </c>
      <c r="I17" s="1">
        <v>2</v>
      </c>
      <c r="J17" s="210">
        <v>5</v>
      </c>
      <c r="K17" s="1">
        <v>1</v>
      </c>
    </row>
    <row r="18" spans="1:13" x14ac:dyDescent="0.25">
      <c r="A18" s="1" t="s">
        <v>436</v>
      </c>
      <c r="B18" s="1">
        <v>173</v>
      </c>
      <c r="C18" s="1">
        <v>172</v>
      </c>
      <c r="D18" s="147">
        <v>16</v>
      </c>
      <c r="E18" s="147">
        <v>9</v>
      </c>
      <c r="F18" s="147">
        <v>93</v>
      </c>
      <c r="G18" s="147">
        <v>61</v>
      </c>
      <c r="H18" s="1">
        <v>63</v>
      </c>
      <c r="I18" s="1">
        <v>18</v>
      </c>
      <c r="J18" s="210">
        <v>53</v>
      </c>
      <c r="K18" s="1">
        <v>59</v>
      </c>
      <c r="L18" t="s">
        <v>476</v>
      </c>
    </row>
    <row r="19" spans="1:13" x14ac:dyDescent="0.25">
      <c r="A19" s="1" t="s">
        <v>437</v>
      </c>
      <c r="B19" s="1">
        <v>120</v>
      </c>
      <c r="C19" s="1">
        <v>120</v>
      </c>
      <c r="D19" s="147">
        <v>12</v>
      </c>
      <c r="E19" s="147">
        <v>10</v>
      </c>
      <c r="F19" s="147">
        <v>107</v>
      </c>
      <c r="G19" s="147">
        <v>77</v>
      </c>
      <c r="H19" s="1">
        <v>1</v>
      </c>
      <c r="I19" s="1">
        <v>2</v>
      </c>
      <c r="J19" s="210">
        <v>1</v>
      </c>
      <c r="K19" s="1">
        <v>1</v>
      </c>
    </row>
    <row r="20" spans="1:13" x14ac:dyDescent="0.25">
      <c r="A20" s="1" t="s">
        <v>438</v>
      </c>
      <c r="B20" s="1">
        <v>129</v>
      </c>
      <c r="C20" s="1">
        <v>129</v>
      </c>
      <c r="D20" s="147">
        <v>21</v>
      </c>
      <c r="E20" s="147">
        <v>16</v>
      </c>
      <c r="F20" s="147">
        <v>106</v>
      </c>
      <c r="G20" s="147">
        <v>70</v>
      </c>
      <c r="H20" s="1">
        <v>2</v>
      </c>
      <c r="I20" s="1">
        <v>0</v>
      </c>
      <c r="J20" s="210">
        <v>2</v>
      </c>
      <c r="K20" s="1">
        <v>2</v>
      </c>
    </row>
    <row r="21" spans="1:13" s="86" customFormat="1" x14ac:dyDescent="0.25">
      <c r="A21" s="176" t="s">
        <v>477</v>
      </c>
      <c r="B21" s="180">
        <f t="shared" ref="B21:J21" si="1">SUM(B15:B20)</f>
        <v>794</v>
      </c>
      <c r="C21" s="180">
        <f t="shared" si="1"/>
        <v>793</v>
      </c>
      <c r="D21" s="213">
        <f t="shared" si="1"/>
        <v>82</v>
      </c>
      <c r="E21" s="213">
        <f>SUM(E15:E20)</f>
        <v>55</v>
      </c>
      <c r="F21" s="213">
        <f t="shared" si="1"/>
        <v>619</v>
      </c>
      <c r="G21" s="213">
        <f>SUM(G15:G20)</f>
        <v>417</v>
      </c>
      <c r="H21" s="206">
        <f t="shared" si="1"/>
        <v>92</v>
      </c>
      <c r="I21" s="180">
        <f t="shared" si="1"/>
        <v>30</v>
      </c>
      <c r="J21" s="205">
        <f t="shared" si="1"/>
        <v>90</v>
      </c>
      <c r="K21" s="206">
        <f>SUM(K15:K20)</f>
        <v>85</v>
      </c>
    </row>
    <row r="22" spans="1:13" s="86" customFormat="1" ht="14.25" customHeight="1" x14ac:dyDescent="0.25">
      <c r="A22" s="262" t="s">
        <v>439</v>
      </c>
      <c r="B22" s="262"/>
      <c r="C22" s="262"/>
      <c r="D22" s="262"/>
      <c r="E22" s="262"/>
      <c r="F22" s="262"/>
      <c r="G22" s="262"/>
      <c r="H22" s="262"/>
      <c r="I22" s="262"/>
      <c r="J22" s="262"/>
      <c r="K22" s="180"/>
    </row>
    <row r="23" spans="1:13" x14ac:dyDescent="0.25">
      <c r="A23" s="261" t="s">
        <v>460</v>
      </c>
      <c r="B23" s="263" t="s">
        <v>432</v>
      </c>
      <c r="C23" s="263" t="s">
        <v>461</v>
      </c>
      <c r="D23" s="264" t="s">
        <v>462</v>
      </c>
      <c r="E23" s="265"/>
      <c r="F23" s="265"/>
      <c r="G23" s="266"/>
      <c r="H23" s="261" t="s">
        <v>463</v>
      </c>
      <c r="I23" s="261"/>
      <c r="J23" s="261"/>
    </row>
    <row r="24" spans="1:13" ht="90" x14ac:dyDescent="0.25">
      <c r="A24" s="261"/>
      <c r="B24" s="263"/>
      <c r="C24" s="263"/>
      <c r="D24" s="147" t="s">
        <v>464</v>
      </c>
      <c r="E24" s="147" t="s">
        <v>465</v>
      </c>
      <c r="F24" s="147" t="s">
        <v>466</v>
      </c>
      <c r="G24" s="147" t="s">
        <v>467</v>
      </c>
      <c r="H24" s="147" t="s">
        <v>468</v>
      </c>
      <c r="I24" s="147" t="s">
        <v>469</v>
      </c>
      <c r="J24" s="208" t="s">
        <v>470</v>
      </c>
      <c r="K24" s="147" t="s">
        <v>471</v>
      </c>
    </row>
    <row r="25" spans="1:13" x14ac:dyDescent="0.25">
      <c r="A25" s="1" t="s">
        <v>440</v>
      </c>
      <c r="B25" s="1">
        <v>52</v>
      </c>
      <c r="C25" s="1">
        <v>52</v>
      </c>
      <c r="D25" s="147">
        <v>9</v>
      </c>
      <c r="E25" s="147">
        <v>6</v>
      </c>
      <c r="F25" s="147">
        <v>43</v>
      </c>
      <c r="G25" s="147">
        <v>29</v>
      </c>
      <c r="H25" s="1">
        <v>0</v>
      </c>
      <c r="I25" s="1">
        <v>0</v>
      </c>
      <c r="J25" s="210">
        <v>0</v>
      </c>
      <c r="K25" s="1">
        <v>0</v>
      </c>
    </row>
    <row r="26" spans="1:13" x14ac:dyDescent="0.25">
      <c r="A26" s="1" t="s">
        <v>441</v>
      </c>
      <c r="B26" s="1">
        <v>32</v>
      </c>
      <c r="C26" s="1">
        <v>32</v>
      </c>
      <c r="D26" s="147">
        <v>6</v>
      </c>
      <c r="E26" s="147">
        <v>4</v>
      </c>
      <c r="F26" s="147">
        <v>26</v>
      </c>
      <c r="G26" s="147">
        <v>6</v>
      </c>
      <c r="H26" s="1">
        <v>0</v>
      </c>
      <c r="I26" s="1">
        <v>0</v>
      </c>
      <c r="J26" s="210">
        <v>0</v>
      </c>
      <c r="K26" s="1">
        <v>0</v>
      </c>
    </row>
    <row r="27" spans="1:13" x14ac:dyDescent="0.25">
      <c r="A27" s="1" t="s">
        <v>442</v>
      </c>
      <c r="B27" s="1">
        <v>491</v>
      </c>
      <c r="C27" s="1">
        <v>485</v>
      </c>
      <c r="D27" s="147">
        <v>33</v>
      </c>
      <c r="E27" s="214">
        <v>29</v>
      </c>
      <c r="F27" s="147">
        <v>397</v>
      </c>
      <c r="G27" s="147">
        <v>351</v>
      </c>
      <c r="H27" s="1">
        <v>55</v>
      </c>
      <c r="I27" s="1">
        <v>26</v>
      </c>
      <c r="J27" s="210">
        <v>55</v>
      </c>
      <c r="K27" s="1">
        <v>51</v>
      </c>
      <c r="L27" t="s">
        <v>478</v>
      </c>
    </row>
    <row r="28" spans="1:13" x14ac:dyDescent="0.25">
      <c r="A28" s="1" t="s">
        <v>443</v>
      </c>
      <c r="B28" s="1">
        <v>180</v>
      </c>
      <c r="C28" s="1">
        <v>180</v>
      </c>
      <c r="D28" s="147">
        <v>15</v>
      </c>
      <c r="E28" s="147">
        <v>13</v>
      </c>
      <c r="F28" s="147">
        <v>162</v>
      </c>
      <c r="G28" s="147">
        <v>118</v>
      </c>
      <c r="H28" s="1">
        <v>3</v>
      </c>
      <c r="I28" s="1">
        <v>0</v>
      </c>
      <c r="J28" s="210">
        <v>3</v>
      </c>
      <c r="K28" s="1">
        <v>3</v>
      </c>
    </row>
    <row r="29" spans="1:13" x14ac:dyDescent="0.25">
      <c r="A29" s="1" t="s">
        <v>444</v>
      </c>
      <c r="B29" s="1">
        <v>87</v>
      </c>
      <c r="C29" s="1">
        <v>86</v>
      </c>
      <c r="D29" s="147">
        <v>11</v>
      </c>
      <c r="E29" s="147">
        <v>8</v>
      </c>
      <c r="F29" s="147">
        <v>65</v>
      </c>
      <c r="G29" s="147">
        <v>35</v>
      </c>
      <c r="H29" s="1">
        <v>10</v>
      </c>
      <c r="I29" s="1">
        <v>2</v>
      </c>
      <c r="J29" s="210">
        <v>8</v>
      </c>
      <c r="K29" s="1">
        <v>10</v>
      </c>
      <c r="L29" t="s">
        <v>479</v>
      </c>
      <c r="M29" s="211" t="s">
        <v>480</v>
      </c>
    </row>
    <row r="30" spans="1:13" x14ac:dyDescent="0.25">
      <c r="A30" s="1" t="s">
        <v>445</v>
      </c>
      <c r="B30" s="1">
        <v>96</v>
      </c>
      <c r="C30" s="1">
        <v>95</v>
      </c>
      <c r="D30" s="147">
        <v>12</v>
      </c>
      <c r="E30" s="147">
        <v>6</v>
      </c>
      <c r="F30" s="147">
        <v>83</v>
      </c>
      <c r="G30" s="147">
        <v>74</v>
      </c>
      <c r="H30" s="1">
        <v>0</v>
      </c>
      <c r="I30" s="1">
        <v>0</v>
      </c>
      <c r="J30" s="210">
        <v>0</v>
      </c>
      <c r="K30" s="1">
        <v>0</v>
      </c>
      <c r="L30" s="211" t="s">
        <v>481</v>
      </c>
    </row>
    <row r="31" spans="1:13" x14ac:dyDescent="0.25">
      <c r="A31" s="1" t="s">
        <v>446</v>
      </c>
      <c r="B31" s="1">
        <v>89</v>
      </c>
      <c r="C31" s="1">
        <v>89</v>
      </c>
      <c r="D31" s="147">
        <v>22</v>
      </c>
      <c r="E31" s="147">
        <v>15</v>
      </c>
      <c r="F31" s="147">
        <v>64</v>
      </c>
      <c r="G31" s="147">
        <v>44</v>
      </c>
      <c r="H31" s="1">
        <v>3</v>
      </c>
      <c r="I31" s="1">
        <v>1</v>
      </c>
      <c r="J31" s="210">
        <v>2</v>
      </c>
      <c r="K31" s="1">
        <v>3</v>
      </c>
    </row>
    <row r="32" spans="1:13" x14ac:dyDescent="0.25">
      <c r="A32" s="1" t="s">
        <v>447</v>
      </c>
      <c r="B32" s="1">
        <v>66</v>
      </c>
      <c r="C32" s="1">
        <v>66</v>
      </c>
      <c r="D32" s="147">
        <v>7</v>
      </c>
      <c r="E32" s="147">
        <v>5</v>
      </c>
      <c r="F32" s="147">
        <v>59</v>
      </c>
      <c r="G32" s="147">
        <v>37</v>
      </c>
      <c r="H32" s="1">
        <v>0</v>
      </c>
      <c r="I32" s="1">
        <v>0</v>
      </c>
      <c r="J32" s="210">
        <v>0</v>
      </c>
      <c r="K32" s="1">
        <v>0</v>
      </c>
    </row>
    <row r="33" spans="1:12" x14ac:dyDescent="0.25">
      <c r="A33" s="1" t="s">
        <v>448</v>
      </c>
      <c r="B33" s="1">
        <v>59</v>
      </c>
      <c r="C33" s="1">
        <v>59</v>
      </c>
      <c r="D33" s="147">
        <v>2</v>
      </c>
      <c r="E33" s="147">
        <v>2</v>
      </c>
      <c r="F33" s="147">
        <v>57</v>
      </c>
      <c r="G33" s="147">
        <v>47</v>
      </c>
      <c r="H33" s="1">
        <v>0</v>
      </c>
      <c r="I33" s="1">
        <v>0</v>
      </c>
      <c r="J33" s="210">
        <v>0</v>
      </c>
      <c r="K33" s="1">
        <v>0</v>
      </c>
    </row>
    <row r="34" spans="1:12" s="86" customFormat="1" x14ac:dyDescent="0.25">
      <c r="A34" s="176" t="s">
        <v>477</v>
      </c>
      <c r="B34" s="180">
        <f t="shared" ref="B34:J34" si="2">SUM(B25:B33)</f>
        <v>1152</v>
      </c>
      <c r="C34" s="180">
        <f t="shared" si="2"/>
        <v>1144</v>
      </c>
      <c r="D34" s="213">
        <f t="shared" si="2"/>
        <v>117</v>
      </c>
      <c r="E34" s="213">
        <f>SUM(E25:E33)</f>
        <v>88</v>
      </c>
      <c r="F34" s="213">
        <f t="shared" si="2"/>
        <v>956</v>
      </c>
      <c r="G34" s="213">
        <f>SUM(G25:G33)</f>
        <v>741</v>
      </c>
      <c r="H34" s="206">
        <f t="shared" si="2"/>
        <v>71</v>
      </c>
      <c r="I34" s="180">
        <f t="shared" si="2"/>
        <v>29</v>
      </c>
      <c r="J34" s="205">
        <f t="shared" si="2"/>
        <v>68</v>
      </c>
      <c r="K34" s="206">
        <f>SUM(K25:K33)</f>
        <v>67</v>
      </c>
    </row>
    <row r="35" spans="1:12" s="86" customFormat="1" x14ac:dyDescent="0.25">
      <c r="A35" s="262" t="s">
        <v>449</v>
      </c>
      <c r="B35" s="262"/>
      <c r="C35" s="262"/>
      <c r="D35" s="262"/>
      <c r="E35" s="262"/>
      <c r="F35" s="262"/>
      <c r="G35" s="262"/>
      <c r="H35" s="262"/>
      <c r="I35" s="262"/>
      <c r="J35" s="262"/>
      <c r="K35" s="180"/>
    </row>
    <row r="36" spans="1:12" x14ac:dyDescent="0.25">
      <c r="A36" s="261" t="s">
        <v>460</v>
      </c>
      <c r="B36" s="263" t="s">
        <v>432</v>
      </c>
      <c r="C36" s="263" t="s">
        <v>461</v>
      </c>
      <c r="D36" s="264" t="s">
        <v>462</v>
      </c>
      <c r="E36" s="265"/>
      <c r="F36" s="265"/>
      <c r="G36" s="266"/>
      <c r="H36" s="261" t="s">
        <v>463</v>
      </c>
      <c r="I36" s="261"/>
      <c r="J36" s="261"/>
    </row>
    <row r="37" spans="1:12" ht="90" x14ac:dyDescent="0.25">
      <c r="A37" s="261"/>
      <c r="B37" s="263"/>
      <c r="C37" s="263"/>
      <c r="D37" s="147" t="s">
        <v>464</v>
      </c>
      <c r="E37" s="147" t="s">
        <v>465</v>
      </c>
      <c r="F37" s="147" t="s">
        <v>466</v>
      </c>
      <c r="G37" s="147" t="s">
        <v>467</v>
      </c>
      <c r="H37" s="147" t="s">
        <v>468</v>
      </c>
      <c r="I37" s="147" t="s">
        <v>469</v>
      </c>
      <c r="J37" s="208" t="s">
        <v>470</v>
      </c>
      <c r="K37" s="147" t="s">
        <v>471</v>
      </c>
    </row>
    <row r="38" spans="1:12" x14ac:dyDescent="0.25">
      <c r="A38" s="1" t="s">
        <v>482</v>
      </c>
      <c r="B38" s="1">
        <v>80</v>
      </c>
      <c r="C38" s="1">
        <v>80</v>
      </c>
      <c r="D38" s="147">
        <v>9</v>
      </c>
      <c r="E38" s="147">
        <v>6</v>
      </c>
      <c r="F38" s="147">
        <v>71</v>
      </c>
      <c r="G38" s="147">
        <v>60</v>
      </c>
      <c r="H38" s="1">
        <v>0</v>
      </c>
      <c r="I38" s="1">
        <v>0</v>
      </c>
      <c r="J38" s="210">
        <v>0</v>
      </c>
      <c r="K38" s="1">
        <v>0</v>
      </c>
    </row>
    <row r="39" spans="1:12" x14ac:dyDescent="0.25">
      <c r="A39" s="1" t="s">
        <v>450</v>
      </c>
      <c r="B39" s="1">
        <v>81</v>
      </c>
      <c r="C39" s="1">
        <v>79</v>
      </c>
      <c r="D39" s="147">
        <v>9</v>
      </c>
      <c r="E39" s="147">
        <v>5</v>
      </c>
      <c r="F39" s="147">
        <v>55</v>
      </c>
      <c r="G39" s="147">
        <v>35</v>
      </c>
      <c r="H39" s="1">
        <v>15</v>
      </c>
      <c r="I39" s="1">
        <v>6</v>
      </c>
      <c r="J39" s="210">
        <v>21</v>
      </c>
      <c r="K39" s="1">
        <v>14</v>
      </c>
      <c r="L39" t="s">
        <v>483</v>
      </c>
    </row>
    <row r="40" spans="1:12" x14ac:dyDescent="0.25">
      <c r="A40" s="1" t="s">
        <v>451</v>
      </c>
      <c r="B40" s="1">
        <v>231</v>
      </c>
      <c r="C40" s="1">
        <v>231</v>
      </c>
      <c r="D40" s="147">
        <v>22</v>
      </c>
      <c r="E40" s="215">
        <v>12</v>
      </c>
      <c r="F40" s="147">
        <v>188</v>
      </c>
      <c r="G40" s="147">
        <v>132</v>
      </c>
      <c r="H40" s="1">
        <v>21</v>
      </c>
      <c r="I40" s="1">
        <v>7</v>
      </c>
      <c r="J40" s="210">
        <v>19</v>
      </c>
      <c r="K40" s="1">
        <v>20</v>
      </c>
    </row>
    <row r="41" spans="1:12" x14ac:dyDescent="0.25">
      <c r="A41" s="1" t="s">
        <v>452</v>
      </c>
      <c r="B41" s="1">
        <v>166</v>
      </c>
      <c r="C41" s="1">
        <v>166</v>
      </c>
      <c r="D41" s="147">
        <v>16</v>
      </c>
      <c r="E41" s="147">
        <v>12</v>
      </c>
      <c r="F41" s="147">
        <v>127</v>
      </c>
      <c r="G41" s="147">
        <v>87</v>
      </c>
      <c r="H41" s="1">
        <v>23</v>
      </c>
      <c r="I41" s="1">
        <v>3</v>
      </c>
      <c r="J41" s="210">
        <v>24</v>
      </c>
      <c r="K41" s="1">
        <v>21</v>
      </c>
    </row>
    <row r="42" spans="1:12" x14ac:dyDescent="0.25">
      <c r="A42" s="1" t="s">
        <v>453</v>
      </c>
      <c r="B42" s="1">
        <v>98</v>
      </c>
      <c r="C42" s="1">
        <v>98</v>
      </c>
      <c r="D42" s="147">
        <v>15</v>
      </c>
      <c r="E42" s="215">
        <v>10</v>
      </c>
      <c r="F42" s="147">
        <v>78</v>
      </c>
      <c r="G42" s="147">
        <v>60</v>
      </c>
      <c r="H42" s="1">
        <v>5</v>
      </c>
      <c r="I42" s="1">
        <v>3</v>
      </c>
      <c r="J42" s="210">
        <v>3</v>
      </c>
      <c r="K42" s="1">
        <v>1</v>
      </c>
    </row>
    <row r="43" spans="1:12" x14ac:dyDescent="0.25">
      <c r="A43" s="1" t="s">
        <v>454</v>
      </c>
      <c r="B43" s="1">
        <v>141</v>
      </c>
      <c r="C43" s="1">
        <v>139</v>
      </c>
      <c r="D43" s="147">
        <v>13</v>
      </c>
      <c r="E43" s="147">
        <v>7</v>
      </c>
      <c r="F43" s="147">
        <v>71</v>
      </c>
      <c r="G43" s="147">
        <v>47</v>
      </c>
      <c r="H43" s="1">
        <v>55</v>
      </c>
      <c r="I43" s="1">
        <v>12</v>
      </c>
      <c r="J43" s="210">
        <v>45</v>
      </c>
      <c r="K43" s="1">
        <v>54</v>
      </c>
      <c r="L43" t="s">
        <v>484</v>
      </c>
    </row>
    <row r="44" spans="1:12" s="86" customFormat="1" x14ac:dyDescent="0.25">
      <c r="A44" s="176" t="s">
        <v>477</v>
      </c>
      <c r="B44" s="180">
        <f t="shared" ref="B44:K44" si="3">SUM(B38:B43)</f>
        <v>797</v>
      </c>
      <c r="C44" s="180">
        <f t="shared" si="3"/>
        <v>793</v>
      </c>
      <c r="D44" s="180">
        <f t="shared" si="3"/>
        <v>84</v>
      </c>
      <c r="E44" s="180">
        <f t="shared" si="3"/>
        <v>52</v>
      </c>
      <c r="F44" s="180">
        <f t="shared" si="3"/>
        <v>590</v>
      </c>
      <c r="G44" s="180">
        <f t="shared" si="3"/>
        <v>421</v>
      </c>
      <c r="H44" s="180">
        <f t="shared" si="3"/>
        <v>119</v>
      </c>
      <c r="I44" s="180">
        <f t="shared" si="3"/>
        <v>31</v>
      </c>
      <c r="J44" s="180">
        <f t="shared" si="3"/>
        <v>112</v>
      </c>
      <c r="K44" s="180">
        <f t="shared" si="3"/>
        <v>110</v>
      </c>
    </row>
    <row r="45" spans="1:12" s="86" customFormat="1" x14ac:dyDescent="0.25">
      <c r="A45" s="176"/>
      <c r="B45" s="180"/>
      <c r="C45" s="180"/>
      <c r="D45" s="213"/>
      <c r="E45" s="213"/>
      <c r="F45" s="213"/>
      <c r="G45" s="213"/>
      <c r="H45" s="180"/>
      <c r="I45" s="180"/>
      <c r="J45" s="205"/>
      <c r="K45" s="180"/>
    </row>
    <row r="46" spans="1:12" ht="45" x14ac:dyDescent="0.25">
      <c r="A46" s="216" t="s">
        <v>485</v>
      </c>
      <c r="B46" s="180">
        <f t="shared" ref="B46" si="4">SUM(B11,B21,B34,B44)</f>
        <v>3876</v>
      </c>
      <c r="C46" s="180">
        <f>SUM(C11,C21,C34,C44)</f>
        <v>3861</v>
      </c>
      <c r="D46" s="180">
        <f t="shared" ref="D46:K46" si="5">SUM(D11,D21,D34,D44)</f>
        <v>393</v>
      </c>
      <c r="E46" s="180">
        <f t="shared" si="5"/>
        <v>281</v>
      </c>
      <c r="F46" s="180">
        <f t="shared" si="5"/>
        <v>3109</v>
      </c>
      <c r="G46" s="180">
        <f t="shared" si="5"/>
        <v>2505</v>
      </c>
      <c r="H46" s="206">
        <f t="shared" si="5"/>
        <v>359</v>
      </c>
      <c r="I46" s="180">
        <f t="shared" si="5"/>
        <v>124</v>
      </c>
      <c r="J46" s="180">
        <f t="shared" si="5"/>
        <v>366</v>
      </c>
      <c r="K46" s="206">
        <f t="shared" si="5"/>
        <v>339</v>
      </c>
    </row>
    <row r="47" spans="1:12" x14ac:dyDescent="0.25">
      <c r="K47" s="50"/>
    </row>
    <row r="48" spans="1:12" x14ac:dyDescent="0.25">
      <c r="C48">
        <f>D46+F46+I46+J46</f>
        <v>3992</v>
      </c>
      <c r="K48" s="50"/>
    </row>
    <row r="49" spans="3:11" x14ac:dyDescent="0.25">
      <c r="E49" s="66">
        <f>D46-E46</f>
        <v>112</v>
      </c>
      <c r="F49" s="66">
        <f>F46-G46</f>
        <v>604</v>
      </c>
      <c r="K49" s="50"/>
    </row>
    <row r="50" spans="3:11" x14ac:dyDescent="0.25">
      <c r="K50" s="50"/>
    </row>
    <row r="51" spans="3:11" x14ac:dyDescent="0.25">
      <c r="D51" s="66">
        <f>D39+F39+H39-C39</f>
        <v>0</v>
      </c>
      <c r="K51" s="50"/>
    </row>
    <row r="52" spans="3:11" x14ac:dyDescent="0.25">
      <c r="D52" s="66">
        <f t="shared" ref="D52:D59" si="6">D40+F40+H40-C40</f>
        <v>0</v>
      </c>
      <c r="K52" s="50"/>
    </row>
    <row r="53" spans="3:11" x14ac:dyDescent="0.25">
      <c r="D53" s="66">
        <f t="shared" si="6"/>
        <v>0</v>
      </c>
      <c r="K53" s="50"/>
    </row>
    <row r="54" spans="3:11" x14ac:dyDescent="0.25">
      <c r="D54" s="66">
        <f t="shared" si="6"/>
        <v>0</v>
      </c>
      <c r="K54" s="50"/>
    </row>
    <row r="55" spans="3:11" x14ac:dyDescent="0.25">
      <c r="D55" s="66">
        <f t="shared" si="6"/>
        <v>0</v>
      </c>
      <c r="K55" s="50"/>
    </row>
    <row r="56" spans="3:11" x14ac:dyDescent="0.25">
      <c r="D56" s="66">
        <f t="shared" si="6"/>
        <v>0</v>
      </c>
      <c r="K56" s="50"/>
    </row>
    <row r="57" spans="3:11" x14ac:dyDescent="0.25">
      <c r="D57" s="66">
        <f t="shared" si="6"/>
        <v>0</v>
      </c>
      <c r="K57" s="50"/>
    </row>
    <row r="58" spans="3:11" x14ac:dyDescent="0.25">
      <c r="D58" s="66">
        <f t="shared" si="6"/>
        <v>0</v>
      </c>
      <c r="K58" s="50"/>
    </row>
    <row r="59" spans="3:11" x14ac:dyDescent="0.25">
      <c r="D59" s="66">
        <f t="shared" si="6"/>
        <v>0</v>
      </c>
      <c r="K59" s="50"/>
    </row>
    <row r="60" spans="3:11" x14ac:dyDescent="0.25">
      <c r="K60" s="50"/>
    </row>
    <row r="61" spans="3:11" x14ac:dyDescent="0.25">
      <c r="K61" s="50"/>
    </row>
    <row r="62" spans="3:11" ht="45" x14ac:dyDescent="0.25">
      <c r="C62" s="1"/>
      <c r="D62" s="147" t="s">
        <v>494</v>
      </c>
      <c r="E62" s="147" t="s">
        <v>498</v>
      </c>
      <c r="K62" s="50"/>
    </row>
    <row r="63" spans="3:11" x14ac:dyDescent="0.25">
      <c r="C63" s="1" t="s">
        <v>493</v>
      </c>
      <c r="D63" s="147">
        <f>D11+F11</f>
        <v>1054</v>
      </c>
      <c r="E63" s="147">
        <f>D63-(E11+G11)</f>
        <v>42</v>
      </c>
      <c r="K63" s="50"/>
    </row>
    <row r="64" spans="3:11" x14ac:dyDescent="0.25">
      <c r="C64" s="1" t="s">
        <v>495</v>
      </c>
      <c r="D64" s="147">
        <f>D21+F21</f>
        <v>701</v>
      </c>
      <c r="E64" s="147">
        <f>D64-(E21+G21)</f>
        <v>229</v>
      </c>
      <c r="K64" s="50"/>
    </row>
    <row r="65" spans="3:11" x14ac:dyDescent="0.25">
      <c r="C65" s="1" t="s">
        <v>496</v>
      </c>
      <c r="D65" s="147">
        <f>D34+F34</f>
        <v>1073</v>
      </c>
      <c r="E65" s="147">
        <f>D65-(E34+G34)</f>
        <v>244</v>
      </c>
      <c r="K65" s="50"/>
    </row>
    <row r="66" spans="3:11" x14ac:dyDescent="0.25">
      <c r="C66" s="1" t="s">
        <v>497</v>
      </c>
      <c r="D66" s="147">
        <f>D44+F44</f>
        <v>674</v>
      </c>
      <c r="E66" s="147">
        <f>D66-(E44+G44)</f>
        <v>201</v>
      </c>
      <c r="K66" s="50"/>
    </row>
    <row r="67" spans="3:11" x14ac:dyDescent="0.25">
      <c r="K67" s="50"/>
    </row>
    <row r="68" spans="3:11" x14ac:dyDescent="0.25">
      <c r="K68" s="50"/>
    </row>
    <row r="69" spans="3:11" x14ac:dyDescent="0.25">
      <c r="K69" s="50"/>
    </row>
    <row r="70" spans="3:11" x14ac:dyDescent="0.25">
      <c r="K70" s="50"/>
    </row>
    <row r="71" spans="3:11" x14ac:dyDescent="0.25">
      <c r="K71" s="50"/>
    </row>
    <row r="72" spans="3:11" x14ac:dyDescent="0.25">
      <c r="K72" s="50"/>
    </row>
    <row r="73" spans="3:11" x14ac:dyDescent="0.25">
      <c r="K73" s="50"/>
    </row>
    <row r="74" spans="3:11" x14ac:dyDescent="0.25">
      <c r="K74" s="50"/>
    </row>
    <row r="75" spans="3:11" x14ac:dyDescent="0.25">
      <c r="K75" s="50"/>
    </row>
    <row r="76" spans="3:11" x14ac:dyDescent="0.25">
      <c r="K76" s="50"/>
    </row>
    <row r="77" spans="3:11" x14ac:dyDescent="0.25">
      <c r="K77" s="50"/>
    </row>
    <row r="78" spans="3:11" x14ac:dyDescent="0.25">
      <c r="K78" s="50"/>
    </row>
    <row r="79" spans="3:11" x14ac:dyDescent="0.25">
      <c r="K79" s="50"/>
    </row>
    <row r="80" spans="3:11" x14ac:dyDescent="0.25">
      <c r="K80" s="50"/>
    </row>
    <row r="81" spans="11:11" x14ac:dyDescent="0.25">
      <c r="K81" s="50"/>
    </row>
    <row r="82" spans="11:11" x14ac:dyDescent="0.25">
      <c r="K82" s="50"/>
    </row>
    <row r="83" spans="11:11" x14ac:dyDescent="0.25">
      <c r="K83" s="50"/>
    </row>
    <row r="84" spans="11:11" x14ac:dyDescent="0.25">
      <c r="K84" s="50"/>
    </row>
    <row r="85" spans="11:11" x14ac:dyDescent="0.25">
      <c r="K85" s="50"/>
    </row>
    <row r="86" spans="11:11" x14ac:dyDescent="0.25">
      <c r="K86" s="50"/>
    </row>
    <row r="87" spans="11:11" x14ac:dyDescent="0.25">
      <c r="K87" s="50"/>
    </row>
    <row r="88" spans="11:11" x14ac:dyDescent="0.25">
      <c r="K88" s="50"/>
    </row>
    <row r="89" spans="11:11" x14ac:dyDescent="0.25">
      <c r="K89" s="50"/>
    </row>
    <row r="90" spans="11:11" x14ac:dyDescent="0.25">
      <c r="K90" s="50"/>
    </row>
    <row r="91" spans="11:11" x14ac:dyDescent="0.25">
      <c r="K91" s="50"/>
    </row>
    <row r="92" spans="11:11" x14ac:dyDescent="0.25">
      <c r="K92" s="50"/>
    </row>
    <row r="93" spans="11:11" x14ac:dyDescent="0.25">
      <c r="K93" s="50"/>
    </row>
    <row r="94" spans="11:11" x14ac:dyDescent="0.25">
      <c r="K94" s="50"/>
    </row>
    <row r="95" spans="11:11" x14ac:dyDescent="0.25">
      <c r="K95" s="50"/>
    </row>
    <row r="96" spans="11:11" x14ac:dyDescent="0.25">
      <c r="K96" s="50"/>
    </row>
    <row r="97" spans="11:11" x14ac:dyDescent="0.25">
      <c r="K97" s="50"/>
    </row>
    <row r="98" spans="11:11" x14ac:dyDescent="0.25">
      <c r="K98" s="50"/>
    </row>
    <row r="99" spans="11:11" x14ac:dyDescent="0.25">
      <c r="K99" s="50"/>
    </row>
    <row r="100" spans="11:11" x14ac:dyDescent="0.25">
      <c r="K100" s="50"/>
    </row>
    <row r="101" spans="11:11" x14ac:dyDescent="0.25">
      <c r="K101" s="50"/>
    </row>
    <row r="102" spans="11:11" x14ac:dyDescent="0.25">
      <c r="K102" s="50"/>
    </row>
    <row r="103" spans="11:11" x14ac:dyDescent="0.25">
      <c r="K103" s="50"/>
    </row>
    <row r="104" spans="11:11" x14ac:dyDescent="0.25">
      <c r="K104" s="50"/>
    </row>
    <row r="105" spans="11:11" x14ac:dyDescent="0.25">
      <c r="K105" s="50"/>
    </row>
    <row r="106" spans="11:11" x14ac:dyDescent="0.25">
      <c r="K106" s="50"/>
    </row>
    <row r="107" spans="11:11" x14ac:dyDescent="0.25">
      <c r="K107" s="50"/>
    </row>
    <row r="108" spans="11:11" x14ac:dyDescent="0.25">
      <c r="K108" s="50"/>
    </row>
    <row r="109" spans="11:11" x14ac:dyDescent="0.25">
      <c r="K109" s="50"/>
    </row>
    <row r="110" spans="11:11" x14ac:dyDescent="0.25">
      <c r="K110" s="50"/>
    </row>
    <row r="111" spans="11:11" x14ac:dyDescent="0.25">
      <c r="K111" s="50"/>
    </row>
    <row r="112" spans="11:11" x14ac:dyDescent="0.25">
      <c r="K112" s="50"/>
    </row>
    <row r="113" spans="11:11" x14ac:dyDescent="0.25">
      <c r="K113" s="50"/>
    </row>
    <row r="114" spans="11:11" x14ac:dyDescent="0.25">
      <c r="K114" s="50"/>
    </row>
    <row r="115" spans="11:11" x14ac:dyDescent="0.25">
      <c r="K115" s="50"/>
    </row>
    <row r="116" spans="11:11" x14ac:dyDescent="0.25">
      <c r="K116" s="50"/>
    </row>
    <row r="117" spans="11:11" x14ac:dyDescent="0.25">
      <c r="K117" s="50"/>
    </row>
    <row r="118" spans="11:11" x14ac:dyDescent="0.25">
      <c r="K118" s="50"/>
    </row>
    <row r="119" spans="11:11" x14ac:dyDescent="0.25">
      <c r="K119" s="50"/>
    </row>
    <row r="120" spans="11:11" x14ac:dyDescent="0.25">
      <c r="K120" s="50"/>
    </row>
    <row r="121" spans="11:11" x14ac:dyDescent="0.25">
      <c r="K121" s="50"/>
    </row>
    <row r="122" spans="11:11" x14ac:dyDescent="0.25">
      <c r="K122" s="50"/>
    </row>
    <row r="123" spans="11:11" x14ac:dyDescent="0.25">
      <c r="K123" s="50"/>
    </row>
    <row r="124" spans="11:11" x14ac:dyDescent="0.25">
      <c r="K124" s="50"/>
    </row>
    <row r="125" spans="11:11" x14ac:dyDescent="0.25">
      <c r="K125" s="50"/>
    </row>
    <row r="126" spans="11:11" x14ac:dyDescent="0.25">
      <c r="K126" s="50"/>
    </row>
    <row r="127" spans="11:11" x14ac:dyDescent="0.25">
      <c r="K127" s="50"/>
    </row>
    <row r="128" spans="11:11" x14ac:dyDescent="0.25">
      <c r="K128" s="50"/>
    </row>
    <row r="129" spans="11:11" x14ac:dyDescent="0.25">
      <c r="K129" s="50"/>
    </row>
    <row r="130" spans="11:11" x14ac:dyDescent="0.25">
      <c r="K130" s="50"/>
    </row>
    <row r="131" spans="11:11" x14ac:dyDescent="0.25">
      <c r="K131" s="50"/>
    </row>
    <row r="132" spans="11:11" x14ac:dyDescent="0.25">
      <c r="K132" s="50"/>
    </row>
    <row r="133" spans="11:11" x14ac:dyDescent="0.25">
      <c r="K133" s="50"/>
    </row>
    <row r="134" spans="11:11" x14ac:dyDescent="0.25">
      <c r="K134" s="50"/>
    </row>
    <row r="135" spans="11:11" x14ac:dyDescent="0.25">
      <c r="K135" s="50"/>
    </row>
    <row r="136" spans="11:11" x14ac:dyDescent="0.25">
      <c r="K136" s="50"/>
    </row>
    <row r="137" spans="11:11" x14ac:dyDescent="0.25">
      <c r="K137" s="50"/>
    </row>
    <row r="138" spans="11:11" x14ac:dyDescent="0.25">
      <c r="K138" s="50"/>
    </row>
    <row r="139" spans="11:11" x14ac:dyDescent="0.25">
      <c r="K139" s="50"/>
    </row>
    <row r="140" spans="11:11" x14ac:dyDescent="0.25">
      <c r="K140" s="50"/>
    </row>
    <row r="141" spans="11:11" x14ac:dyDescent="0.25">
      <c r="K141" s="50"/>
    </row>
    <row r="142" spans="11:11" x14ac:dyDescent="0.25">
      <c r="K142" s="50"/>
    </row>
    <row r="143" spans="11:11" x14ac:dyDescent="0.25">
      <c r="K143" s="50"/>
    </row>
    <row r="144" spans="11:11" x14ac:dyDescent="0.25">
      <c r="K144" s="50"/>
    </row>
    <row r="145" spans="11:11" x14ac:dyDescent="0.25">
      <c r="K145" s="50"/>
    </row>
    <row r="146" spans="11:11" x14ac:dyDescent="0.25">
      <c r="K146" s="50"/>
    </row>
    <row r="147" spans="11:11" x14ac:dyDescent="0.25">
      <c r="K147" s="50"/>
    </row>
    <row r="148" spans="11:11" x14ac:dyDescent="0.25">
      <c r="K148" s="50"/>
    </row>
    <row r="149" spans="11:11" x14ac:dyDescent="0.25">
      <c r="K149" s="50"/>
    </row>
    <row r="150" spans="11:11" x14ac:dyDescent="0.25">
      <c r="K150" s="50"/>
    </row>
    <row r="151" spans="11:11" x14ac:dyDescent="0.25">
      <c r="K151" s="50"/>
    </row>
    <row r="152" spans="11:11" x14ac:dyDescent="0.25">
      <c r="K152" s="50"/>
    </row>
    <row r="153" spans="11:11" x14ac:dyDescent="0.25">
      <c r="K153" s="50"/>
    </row>
    <row r="154" spans="11:11" x14ac:dyDescent="0.25">
      <c r="K154" s="50"/>
    </row>
    <row r="155" spans="11:11" x14ac:dyDescent="0.25">
      <c r="K155" s="50"/>
    </row>
    <row r="156" spans="11:11" x14ac:dyDescent="0.25">
      <c r="K156" s="50"/>
    </row>
    <row r="157" spans="11:11" x14ac:dyDescent="0.25">
      <c r="K157" s="50"/>
    </row>
    <row r="158" spans="11:11" x14ac:dyDescent="0.25">
      <c r="K158" s="50"/>
    </row>
    <row r="159" spans="11:11" x14ac:dyDescent="0.25">
      <c r="K159" s="50"/>
    </row>
    <row r="160" spans="11:11" x14ac:dyDescent="0.25">
      <c r="K160" s="50"/>
    </row>
    <row r="161" spans="11:11" x14ac:dyDescent="0.25">
      <c r="K161" s="50"/>
    </row>
    <row r="162" spans="11:11" x14ac:dyDescent="0.25">
      <c r="K162" s="50"/>
    </row>
    <row r="163" spans="11:11" x14ac:dyDescent="0.25">
      <c r="K163" s="50"/>
    </row>
    <row r="164" spans="11:11" x14ac:dyDescent="0.25">
      <c r="K164" s="50"/>
    </row>
    <row r="165" spans="11:11" x14ac:dyDescent="0.25">
      <c r="K165" s="50"/>
    </row>
    <row r="166" spans="11:11" x14ac:dyDescent="0.25">
      <c r="K166" s="50"/>
    </row>
    <row r="167" spans="11:11" x14ac:dyDescent="0.25">
      <c r="K167" s="50"/>
    </row>
    <row r="168" spans="11:11" x14ac:dyDescent="0.25">
      <c r="K168" s="50"/>
    </row>
    <row r="169" spans="11:11" x14ac:dyDescent="0.25">
      <c r="K169" s="50"/>
    </row>
    <row r="170" spans="11:11" x14ac:dyDescent="0.25">
      <c r="K170" s="50"/>
    </row>
    <row r="171" spans="11:11" x14ac:dyDescent="0.25">
      <c r="K171" s="50"/>
    </row>
    <row r="172" spans="11:11" x14ac:dyDescent="0.25">
      <c r="K172" s="50"/>
    </row>
    <row r="173" spans="11:11" x14ac:dyDescent="0.25">
      <c r="K173" s="50"/>
    </row>
    <row r="174" spans="11:11" x14ac:dyDescent="0.25">
      <c r="K174" s="50"/>
    </row>
    <row r="175" spans="11:11" x14ac:dyDescent="0.25">
      <c r="K175" s="50"/>
    </row>
    <row r="176" spans="11:11" x14ac:dyDescent="0.25">
      <c r="K176" s="50"/>
    </row>
    <row r="177" spans="11:11" x14ac:dyDescent="0.25">
      <c r="K177" s="50"/>
    </row>
    <row r="178" spans="11:11" x14ac:dyDescent="0.25">
      <c r="K178" s="50"/>
    </row>
    <row r="179" spans="11:11" x14ac:dyDescent="0.25">
      <c r="K179" s="50"/>
    </row>
    <row r="180" spans="11:11" x14ac:dyDescent="0.25">
      <c r="K180" s="50"/>
    </row>
    <row r="181" spans="11:11" x14ac:dyDescent="0.25">
      <c r="K181" s="50"/>
    </row>
    <row r="182" spans="11:11" x14ac:dyDescent="0.25">
      <c r="K182" s="50"/>
    </row>
    <row r="183" spans="11:11" x14ac:dyDescent="0.25">
      <c r="K183" s="50"/>
    </row>
    <row r="184" spans="11:11" x14ac:dyDescent="0.25">
      <c r="K184" s="50"/>
    </row>
    <row r="185" spans="11:11" x14ac:dyDescent="0.25">
      <c r="K185" s="50"/>
    </row>
    <row r="186" spans="11:11" x14ac:dyDescent="0.25">
      <c r="K186" s="50"/>
    </row>
    <row r="187" spans="11:11" x14ac:dyDescent="0.25">
      <c r="K187" s="50"/>
    </row>
    <row r="188" spans="11:11" x14ac:dyDescent="0.25">
      <c r="K188" s="50"/>
    </row>
    <row r="189" spans="11:11" x14ac:dyDescent="0.25">
      <c r="K189" s="50"/>
    </row>
    <row r="190" spans="11:11" x14ac:dyDescent="0.25">
      <c r="K190" s="50"/>
    </row>
    <row r="191" spans="11:11" x14ac:dyDescent="0.25">
      <c r="K191" s="50"/>
    </row>
    <row r="192" spans="11:11" x14ac:dyDescent="0.25">
      <c r="K192" s="50"/>
    </row>
    <row r="193" spans="11:11" x14ac:dyDescent="0.25">
      <c r="K193" s="50"/>
    </row>
    <row r="194" spans="11:11" x14ac:dyDescent="0.25">
      <c r="K194" s="50"/>
    </row>
    <row r="195" spans="11:11" x14ac:dyDescent="0.25">
      <c r="K195" s="50"/>
    </row>
    <row r="196" spans="11:11" x14ac:dyDescent="0.25">
      <c r="K196" s="50"/>
    </row>
    <row r="197" spans="11:11" x14ac:dyDescent="0.25">
      <c r="K197" s="50"/>
    </row>
    <row r="198" spans="11:11" x14ac:dyDescent="0.25">
      <c r="K198" s="50"/>
    </row>
    <row r="199" spans="11:11" x14ac:dyDescent="0.25">
      <c r="K199" s="50"/>
    </row>
    <row r="200" spans="11:11" x14ac:dyDescent="0.25">
      <c r="K200" s="50"/>
    </row>
    <row r="201" spans="11:11" x14ac:dyDescent="0.25">
      <c r="K201" s="50"/>
    </row>
    <row r="202" spans="11:11" x14ac:dyDescent="0.25">
      <c r="K202" s="50"/>
    </row>
    <row r="203" spans="11:11" x14ac:dyDescent="0.25">
      <c r="K203" s="50"/>
    </row>
    <row r="204" spans="11:11" x14ac:dyDescent="0.25">
      <c r="K204" s="50"/>
    </row>
    <row r="205" spans="11:11" x14ac:dyDescent="0.25">
      <c r="K205" s="50"/>
    </row>
    <row r="206" spans="11:11" x14ac:dyDescent="0.25">
      <c r="K206" s="50"/>
    </row>
    <row r="207" spans="11:11" x14ac:dyDescent="0.25">
      <c r="K207" s="50"/>
    </row>
    <row r="208" spans="11:11" x14ac:dyDescent="0.25">
      <c r="K208" s="50"/>
    </row>
    <row r="209" spans="11:11" x14ac:dyDescent="0.25">
      <c r="K209" s="50"/>
    </row>
    <row r="210" spans="11:11" x14ac:dyDescent="0.25">
      <c r="K210" s="50"/>
    </row>
    <row r="211" spans="11:11" x14ac:dyDescent="0.25">
      <c r="K211" s="50"/>
    </row>
    <row r="212" spans="11:11" x14ac:dyDescent="0.25">
      <c r="K212" s="50"/>
    </row>
    <row r="213" spans="11:11" x14ac:dyDescent="0.25">
      <c r="K213" s="50"/>
    </row>
    <row r="214" spans="11:11" x14ac:dyDescent="0.25">
      <c r="K214" s="50"/>
    </row>
    <row r="215" spans="11:11" x14ac:dyDescent="0.25">
      <c r="K215" s="50"/>
    </row>
    <row r="216" spans="11:11" x14ac:dyDescent="0.25">
      <c r="K216" s="50"/>
    </row>
    <row r="217" spans="11:11" x14ac:dyDescent="0.25">
      <c r="K217" s="50"/>
    </row>
    <row r="218" spans="11:11" x14ac:dyDescent="0.25">
      <c r="K218" s="50"/>
    </row>
    <row r="219" spans="11:11" x14ac:dyDescent="0.25">
      <c r="K219" s="50"/>
    </row>
    <row r="220" spans="11:11" x14ac:dyDescent="0.25">
      <c r="K220" s="50"/>
    </row>
    <row r="221" spans="11:11" x14ac:dyDescent="0.25">
      <c r="K221" s="50"/>
    </row>
    <row r="222" spans="11:11" x14ac:dyDescent="0.25">
      <c r="K222" s="50"/>
    </row>
    <row r="223" spans="11:11" x14ac:dyDescent="0.25">
      <c r="K223" s="50"/>
    </row>
    <row r="224" spans="11:11" x14ac:dyDescent="0.25">
      <c r="K224" s="50"/>
    </row>
    <row r="225" spans="11:11" x14ac:dyDescent="0.25">
      <c r="K225" s="50"/>
    </row>
    <row r="226" spans="11:11" x14ac:dyDescent="0.25">
      <c r="K226" s="50"/>
    </row>
    <row r="227" spans="11:11" x14ac:dyDescent="0.25">
      <c r="K227" s="50"/>
    </row>
    <row r="228" spans="11:11" x14ac:dyDescent="0.25">
      <c r="K228" s="50"/>
    </row>
    <row r="229" spans="11:11" x14ac:dyDescent="0.25">
      <c r="K229" s="50"/>
    </row>
    <row r="230" spans="11:11" x14ac:dyDescent="0.25">
      <c r="K230" s="50"/>
    </row>
    <row r="231" spans="11:11" x14ac:dyDescent="0.25">
      <c r="K231" s="50"/>
    </row>
    <row r="232" spans="11:11" x14ac:dyDescent="0.25">
      <c r="K232" s="50"/>
    </row>
    <row r="233" spans="11:11" x14ac:dyDescent="0.25">
      <c r="K233" s="50"/>
    </row>
    <row r="234" spans="11:11" x14ac:dyDescent="0.25">
      <c r="K234" s="50"/>
    </row>
    <row r="235" spans="11:11" x14ac:dyDescent="0.25">
      <c r="K235" s="50"/>
    </row>
    <row r="236" spans="11:11" x14ac:dyDescent="0.25">
      <c r="K236" s="50"/>
    </row>
    <row r="237" spans="11:11" x14ac:dyDescent="0.25">
      <c r="K237" s="50"/>
    </row>
    <row r="238" spans="11:11" x14ac:dyDescent="0.25">
      <c r="K238" s="50"/>
    </row>
    <row r="239" spans="11:11" x14ac:dyDescent="0.25">
      <c r="K239" s="50"/>
    </row>
    <row r="240" spans="11:11" x14ac:dyDescent="0.25">
      <c r="K240" s="50"/>
    </row>
    <row r="241" spans="11:11" x14ac:dyDescent="0.25">
      <c r="K241" s="50"/>
    </row>
    <row r="242" spans="11:11" x14ac:dyDescent="0.25">
      <c r="K242" s="50"/>
    </row>
    <row r="243" spans="11:11" x14ac:dyDescent="0.25">
      <c r="K243" s="50"/>
    </row>
    <row r="244" spans="11:11" x14ac:dyDescent="0.25">
      <c r="K244" s="50"/>
    </row>
    <row r="245" spans="11:11" x14ac:dyDescent="0.25">
      <c r="K245" s="50"/>
    </row>
    <row r="246" spans="11:11" x14ac:dyDescent="0.25">
      <c r="K246" s="50"/>
    </row>
    <row r="247" spans="11:11" x14ac:dyDescent="0.25">
      <c r="K247" s="50"/>
    </row>
    <row r="248" spans="11:11" x14ac:dyDescent="0.25">
      <c r="K248" s="50"/>
    </row>
    <row r="249" spans="11:11" x14ac:dyDescent="0.25">
      <c r="K249" s="50"/>
    </row>
    <row r="250" spans="11:11" x14ac:dyDescent="0.25">
      <c r="K250" s="50"/>
    </row>
    <row r="251" spans="11:11" x14ac:dyDescent="0.25">
      <c r="K251" s="50"/>
    </row>
    <row r="252" spans="11:11" x14ac:dyDescent="0.25">
      <c r="K252" s="50"/>
    </row>
    <row r="253" spans="11:11" x14ac:dyDescent="0.25">
      <c r="K253" s="50"/>
    </row>
    <row r="254" spans="11:11" x14ac:dyDescent="0.25">
      <c r="K254" s="50"/>
    </row>
    <row r="255" spans="11:11" x14ac:dyDescent="0.25">
      <c r="K255" s="50"/>
    </row>
    <row r="256" spans="11:11" x14ac:dyDescent="0.25">
      <c r="K256" s="50"/>
    </row>
    <row r="257" spans="11:11" x14ac:dyDescent="0.25">
      <c r="K257" s="50"/>
    </row>
    <row r="258" spans="11:11" x14ac:dyDescent="0.25">
      <c r="K258" s="50"/>
    </row>
    <row r="259" spans="11:11" x14ac:dyDescent="0.25">
      <c r="K259" s="50"/>
    </row>
    <row r="260" spans="11:11" x14ac:dyDescent="0.25">
      <c r="K260" s="50"/>
    </row>
    <row r="261" spans="11:11" x14ac:dyDescent="0.25">
      <c r="K261" s="50"/>
    </row>
    <row r="262" spans="11:11" x14ac:dyDescent="0.25">
      <c r="K262" s="50"/>
    </row>
    <row r="263" spans="11:11" x14ac:dyDescent="0.25">
      <c r="K263" s="50"/>
    </row>
    <row r="264" spans="11:11" x14ac:dyDescent="0.25">
      <c r="K264" s="50"/>
    </row>
    <row r="265" spans="11:11" x14ac:dyDescent="0.25">
      <c r="K265" s="50"/>
    </row>
    <row r="266" spans="11:11" x14ac:dyDescent="0.25">
      <c r="K266" s="50"/>
    </row>
    <row r="267" spans="11:11" x14ac:dyDescent="0.25">
      <c r="K267" s="50"/>
    </row>
    <row r="268" spans="11:11" x14ac:dyDescent="0.25">
      <c r="K268" s="50"/>
    </row>
    <row r="269" spans="11:11" x14ac:dyDescent="0.25">
      <c r="K269" s="50"/>
    </row>
    <row r="270" spans="11:11" x14ac:dyDescent="0.25">
      <c r="K270" s="50"/>
    </row>
    <row r="271" spans="11:11" x14ac:dyDescent="0.25">
      <c r="K271" s="50"/>
    </row>
    <row r="272" spans="11:11" x14ac:dyDescent="0.25">
      <c r="K272" s="50"/>
    </row>
    <row r="273" spans="11:11" x14ac:dyDescent="0.25">
      <c r="K273" s="50"/>
    </row>
    <row r="274" spans="11:11" x14ac:dyDescent="0.25">
      <c r="K274" s="50"/>
    </row>
    <row r="275" spans="11:11" x14ac:dyDescent="0.25">
      <c r="K275" s="50"/>
    </row>
    <row r="276" spans="11:11" x14ac:dyDescent="0.25">
      <c r="K276" s="50"/>
    </row>
    <row r="277" spans="11:11" x14ac:dyDescent="0.25">
      <c r="K277" s="50"/>
    </row>
    <row r="278" spans="11:11" x14ac:dyDescent="0.25">
      <c r="K278" s="50"/>
    </row>
    <row r="279" spans="11:11" x14ac:dyDescent="0.25">
      <c r="K279" s="50"/>
    </row>
    <row r="280" spans="11:11" x14ac:dyDescent="0.25">
      <c r="K280" s="50"/>
    </row>
    <row r="281" spans="11:11" x14ac:dyDescent="0.25">
      <c r="K281" s="50"/>
    </row>
    <row r="282" spans="11:11" x14ac:dyDescent="0.25">
      <c r="K282" s="50"/>
    </row>
    <row r="283" spans="11:11" x14ac:dyDescent="0.25">
      <c r="K283" s="50"/>
    </row>
    <row r="284" spans="11:11" x14ac:dyDescent="0.25">
      <c r="K284" s="50"/>
    </row>
    <row r="285" spans="11:11" x14ac:dyDescent="0.25">
      <c r="K285" s="50"/>
    </row>
    <row r="286" spans="11:11" x14ac:dyDescent="0.25">
      <c r="K286" s="50"/>
    </row>
    <row r="287" spans="11:11" x14ac:dyDescent="0.25">
      <c r="K287" s="50"/>
    </row>
    <row r="288" spans="11:11" x14ac:dyDescent="0.25">
      <c r="K288" s="50"/>
    </row>
    <row r="289" spans="11:11" x14ac:dyDescent="0.25">
      <c r="K289" s="50"/>
    </row>
    <row r="290" spans="11:11" x14ac:dyDescent="0.25">
      <c r="K290" s="50"/>
    </row>
    <row r="291" spans="11:11" x14ac:dyDescent="0.25">
      <c r="K291" s="50"/>
    </row>
    <row r="292" spans="11:11" x14ac:dyDescent="0.25">
      <c r="K292" s="50"/>
    </row>
    <row r="293" spans="11:11" x14ac:dyDescent="0.25">
      <c r="K293" s="50"/>
    </row>
    <row r="294" spans="11:11" x14ac:dyDescent="0.25">
      <c r="K294" s="50"/>
    </row>
    <row r="295" spans="11:11" x14ac:dyDescent="0.25">
      <c r="K295" s="50"/>
    </row>
    <row r="296" spans="11:11" x14ac:dyDescent="0.25">
      <c r="K296" s="50"/>
    </row>
    <row r="297" spans="11:11" x14ac:dyDescent="0.25">
      <c r="K297" s="50"/>
    </row>
    <row r="298" spans="11:11" x14ac:dyDescent="0.25">
      <c r="K298" s="50"/>
    </row>
    <row r="299" spans="11:11" x14ac:dyDescent="0.25">
      <c r="K299" s="50"/>
    </row>
    <row r="300" spans="11:11" x14ac:dyDescent="0.25">
      <c r="K300" s="50"/>
    </row>
    <row r="301" spans="11:11" x14ac:dyDescent="0.25">
      <c r="K301" s="50"/>
    </row>
    <row r="302" spans="11:11" x14ac:dyDescent="0.25">
      <c r="K302" s="50"/>
    </row>
    <row r="303" spans="11:11" x14ac:dyDescent="0.25">
      <c r="K303" s="50"/>
    </row>
    <row r="304" spans="11:11" x14ac:dyDescent="0.25">
      <c r="K304" s="50"/>
    </row>
    <row r="305" spans="11:11" x14ac:dyDescent="0.25">
      <c r="K305" s="50"/>
    </row>
    <row r="306" spans="11:11" x14ac:dyDescent="0.25">
      <c r="K306" s="50"/>
    </row>
    <row r="307" spans="11:11" x14ac:dyDescent="0.25">
      <c r="K307" s="50"/>
    </row>
    <row r="308" spans="11:11" x14ac:dyDescent="0.25">
      <c r="K308" s="50"/>
    </row>
    <row r="309" spans="11:11" x14ac:dyDescent="0.25">
      <c r="K309" s="50"/>
    </row>
    <row r="310" spans="11:11" x14ac:dyDescent="0.25">
      <c r="K310" s="50"/>
    </row>
    <row r="311" spans="11:11" x14ac:dyDescent="0.25">
      <c r="K311" s="50"/>
    </row>
    <row r="312" spans="11:11" x14ac:dyDescent="0.25">
      <c r="K312" s="50"/>
    </row>
    <row r="313" spans="11:11" x14ac:dyDescent="0.25">
      <c r="K313" s="50"/>
    </row>
    <row r="314" spans="11:11" x14ac:dyDescent="0.25">
      <c r="K314" s="50"/>
    </row>
    <row r="315" spans="11:11" x14ac:dyDescent="0.25">
      <c r="K315" s="50"/>
    </row>
    <row r="316" spans="11:11" x14ac:dyDescent="0.25">
      <c r="K316" s="50"/>
    </row>
    <row r="317" spans="11:11" x14ac:dyDescent="0.25">
      <c r="K317" s="50"/>
    </row>
    <row r="318" spans="11:11" x14ac:dyDescent="0.25">
      <c r="K318" s="50"/>
    </row>
    <row r="319" spans="11:11" x14ac:dyDescent="0.25">
      <c r="K319" s="50"/>
    </row>
    <row r="320" spans="11:11" x14ac:dyDescent="0.25">
      <c r="K320" s="50"/>
    </row>
    <row r="321" spans="11:11" x14ac:dyDescent="0.25">
      <c r="K321" s="50"/>
    </row>
    <row r="322" spans="11:11" x14ac:dyDescent="0.25">
      <c r="K322" s="50"/>
    </row>
    <row r="323" spans="11:11" x14ac:dyDescent="0.25">
      <c r="K323" s="50"/>
    </row>
    <row r="324" spans="11:11" x14ac:dyDescent="0.25">
      <c r="K324" s="50"/>
    </row>
    <row r="325" spans="11:11" x14ac:dyDescent="0.25">
      <c r="K325" s="50"/>
    </row>
    <row r="326" spans="11:11" x14ac:dyDescent="0.25">
      <c r="K326" s="50"/>
    </row>
    <row r="327" spans="11:11" x14ac:dyDescent="0.25">
      <c r="K327" s="50"/>
    </row>
    <row r="328" spans="11:11" x14ac:dyDescent="0.25">
      <c r="K328" s="50"/>
    </row>
    <row r="329" spans="11:11" x14ac:dyDescent="0.25">
      <c r="K329" s="50"/>
    </row>
    <row r="330" spans="11:11" x14ac:dyDescent="0.25">
      <c r="K330" s="50"/>
    </row>
    <row r="331" spans="11:11" x14ac:dyDescent="0.25">
      <c r="K331" s="50"/>
    </row>
    <row r="332" spans="11:11" x14ac:dyDescent="0.25">
      <c r="K332" s="50"/>
    </row>
    <row r="333" spans="11:11" x14ac:dyDescent="0.25">
      <c r="K333" s="50"/>
    </row>
    <row r="334" spans="11:11" x14ac:dyDescent="0.25">
      <c r="K334" s="50"/>
    </row>
    <row r="335" spans="11:11" x14ac:dyDescent="0.25">
      <c r="K335" s="50"/>
    </row>
    <row r="336" spans="11:11" x14ac:dyDescent="0.25">
      <c r="K336" s="50"/>
    </row>
    <row r="337" spans="11:11" x14ac:dyDescent="0.25">
      <c r="K337" s="50"/>
    </row>
    <row r="338" spans="11:11" x14ac:dyDescent="0.25">
      <c r="K338" s="50"/>
    </row>
    <row r="339" spans="11:11" x14ac:dyDescent="0.25">
      <c r="K339" s="50"/>
    </row>
    <row r="340" spans="11:11" x14ac:dyDescent="0.25">
      <c r="K340" s="50"/>
    </row>
    <row r="341" spans="11:11" x14ac:dyDescent="0.25">
      <c r="K341" s="50"/>
    </row>
    <row r="342" spans="11:11" x14ac:dyDescent="0.25">
      <c r="K342" s="50"/>
    </row>
    <row r="343" spans="11:11" x14ac:dyDescent="0.25">
      <c r="K343" s="50"/>
    </row>
    <row r="344" spans="11:11" x14ac:dyDescent="0.25">
      <c r="K344" s="50"/>
    </row>
    <row r="345" spans="11:11" x14ac:dyDescent="0.25">
      <c r="K345" s="50"/>
    </row>
    <row r="346" spans="11:11" x14ac:dyDescent="0.25">
      <c r="K346" s="50"/>
    </row>
    <row r="347" spans="11:11" x14ac:dyDescent="0.25">
      <c r="K347" s="50"/>
    </row>
    <row r="348" spans="11:11" x14ac:dyDescent="0.25">
      <c r="K348" s="50"/>
    </row>
    <row r="349" spans="11:11" x14ac:dyDescent="0.25">
      <c r="K349" s="50"/>
    </row>
    <row r="350" spans="11:11" x14ac:dyDescent="0.25">
      <c r="K350" s="50"/>
    </row>
    <row r="351" spans="11:11" x14ac:dyDescent="0.25">
      <c r="K351" s="50"/>
    </row>
    <row r="352" spans="11:11" x14ac:dyDescent="0.25">
      <c r="K352" s="50"/>
    </row>
    <row r="353" spans="11:11" x14ac:dyDescent="0.25">
      <c r="K353" s="50"/>
    </row>
    <row r="354" spans="11:11" x14ac:dyDescent="0.25">
      <c r="K354" s="50"/>
    </row>
    <row r="355" spans="11:11" x14ac:dyDescent="0.25">
      <c r="K355" s="50"/>
    </row>
    <row r="356" spans="11:11" x14ac:dyDescent="0.25">
      <c r="K356" s="50"/>
    </row>
    <row r="357" spans="11:11" x14ac:dyDescent="0.25">
      <c r="K357" s="50"/>
    </row>
    <row r="358" spans="11:11" x14ac:dyDescent="0.25">
      <c r="K358" s="50"/>
    </row>
    <row r="359" spans="11:11" x14ac:dyDescent="0.25">
      <c r="K359" s="50"/>
    </row>
    <row r="360" spans="11:11" x14ac:dyDescent="0.25">
      <c r="K360" s="50"/>
    </row>
    <row r="361" spans="11:11" x14ac:dyDescent="0.25">
      <c r="K361" s="50"/>
    </row>
    <row r="362" spans="11:11" x14ac:dyDescent="0.25">
      <c r="K362" s="50"/>
    </row>
    <row r="363" spans="11:11" x14ac:dyDescent="0.25">
      <c r="K363" s="50"/>
    </row>
    <row r="364" spans="11:11" x14ac:dyDescent="0.25">
      <c r="K364" s="50"/>
    </row>
    <row r="365" spans="11:11" x14ac:dyDescent="0.25">
      <c r="K365" s="50"/>
    </row>
    <row r="366" spans="11:11" x14ac:dyDescent="0.25">
      <c r="K366" s="50"/>
    </row>
    <row r="367" spans="11:11" x14ac:dyDescent="0.25">
      <c r="K367" s="50"/>
    </row>
    <row r="368" spans="11:11" x14ac:dyDescent="0.25">
      <c r="K368" s="50"/>
    </row>
    <row r="369" spans="11:11" x14ac:dyDescent="0.25">
      <c r="K369" s="50"/>
    </row>
    <row r="370" spans="11:11" x14ac:dyDescent="0.25">
      <c r="K370" s="50"/>
    </row>
    <row r="371" spans="11:11" x14ac:dyDescent="0.25">
      <c r="K371" s="50"/>
    </row>
    <row r="372" spans="11:11" x14ac:dyDescent="0.25">
      <c r="K372" s="50"/>
    </row>
    <row r="373" spans="11:11" x14ac:dyDescent="0.25">
      <c r="K373" s="50"/>
    </row>
    <row r="374" spans="11:11" x14ac:dyDescent="0.25">
      <c r="K374" s="50"/>
    </row>
    <row r="375" spans="11:11" x14ac:dyDescent="0.25">
      <c r="K375" s="50"/>
    </row>
    <row r="376" spans="11:11" x14ac:dyDescent="0.25">
      <c r="K376" s="50"/>
    </row>
    <row r="377" spans="11:11" x14ac:dyDescent="0.25">
      <c r="K377" s="50"/>
    </row>
    <row r="378" spans="11:11" x14ac:dyDescent="0.25">
      <c r="K378" s="50"/>
    </row>
    <row r="379" spans="11:11" x14ac:dyDescent="0.25">
      <c r="K379" s="50"/>
    </row>
    <row r="380" spans="11:11" x14ac:dyDescent="0.25">
      <c r="K380" s="50"/>
    </row>
    <row r="381" spans="11:11" x14ac:dyDescent="0.25">
      <c r="K381" s="50"/>
    </row>
    <row r="382" spans="11:11" x14ac:dyDescent="0.25">
      <c r="K382" s="50"/>
    </row>
    <row r="383" spans="11:11" x14ac:dyDescent="0.25">
      <c r="K383" s="50"/>
    </row>
    <row r="384" spans="11:11" x14ac:dyDescent="0.25">
      <c r="K384" s="50"/>
    </row>
    <row r="385" spans="11:11" x14ac:dyDescent="0.25">
      <c r="K385" s="50"/>
    </row>
    <row r="386" spans="11:11" x14ac:dyDescent="0.25">
      <c r="K386" s="50"/>
    </row>
    <row r="387" spans="11:11" x14ac:dyDescent="0.25">
      <c r="K387" s="50"/>
    </row>
    <row r="388" spans="11:11" x14ac:dyDescent="0.25">
      <c r="K388" s="50"/>
    </row>
    <row r="389" spans="11:11" x14ac:dyDescent="0.25">
      <c r="K389" s="50"/>
    </row>
    <row r="390" spans="11:11" x14ac:dyDescent="0.25">
      <c r="K390" s="50"/>
    </row>
    <row r="391" spans="11:11" x14ac:dyDescent="0.25">
      <c r="K391" s="50"/>
    </row>
    <row r="392" spans="11:11" x14ac:dyDescent="0.25">
      <c r="K392" s="50"/>
    </row>
    <row r="393" spans="11:11" x14ac:dyDescent="0.25">
      <c r="K393" s="50"/>
    </row>
    <row r="394" spans="11:11" x14ac:dyDescent="0.25">
      <c r="K394" s="50"/>
    </row>
    <row r="395" spans="11:11" x14ac:dyDescent="0.25">
      <c r="K395" s="50"/>
    </row>
    <row r="396" spans="11:11" x14ac:dyDescent="0.25">
      <c r="K396" s="50"/>
    </row>
    <row r="397" spans="11:11" x14ac:dyDescent="0.25">
      <c r="K397" s="50"/>
    </row>
    <row r="398" spans="11:11" x14ac:dyDescent="0.25">
      <c r="K398" s="50"/>
    </row>
    <row r="399" spans="11:11" x14ac:dyDescent="0.25">
      <c r="K399" s="50"/>
    </row>
    <row r="400" spans="11:11" x14ac:dyDescent="0.25">
      <c r="K400" s="50"/>
    </row>
    <row r="401" spans="11:11" x14ac:dyDescent="0.25">
      <c r="K401" s="50"/>
    </row>
    <row r="402" spans="11:11" x14ac:dyDescent="0.25">
      <c r="K402" s="50"/>
    </row>
    <row r="403" spans="11:11" x14ac:dyDescent="0.25">
      <c r="K403" s="50"/>
    </row>
    <row r="404" spans="11:11" x14ac:dyDescent="0.25">
      <c r="K404" s="50"/>
    </row>
    <row r="405" spans="11:11" x14ac:dyDescent="0.25">
      <c r="K405" s="50"/>
    </row>
    <row r="406" spans="11:11" x14ac:dyDescent="0.25">
      <c r="K406" s="50"/>
    </row>
    <row r="407" spans="11:11" x14ac:dyDescent="0.25">
      <c r="K407" s="50"/>
    </row>
    <row r="408" spans="11:11" x14ac:dyDescent="0.25">
      <c r="K408" s="50"/>
    </row>
    <row r="409" spans="11:11" x14ac:dyDescent="0.25">
      <c r="K409" s="50"/>
    </row>
    <row r="410" spans="11:11" x14ac:dyDescent="0.25">
      <c r="K410" s="50"/>
    </row>
    <row r="411" spans="11:11" x14ac:dyDescent="0.25">
      <c r="K411" s="50"/>
    </row>
    <row r="412" spans="11:11" x14ac:dyDescent="0.25">
      <c r="K412" s="50"/>
    </row>
    <row r="413" spans="11:11" x14ac:dyDescent="0.25">
      <c r="K413" s="50"/>
    </row>
    <row r="414" spans="11:11" x14ac:dyDescent="0.25">
      <c r="K414" s="50"/>
    </row>
    <row r="415" spans="11:11" x14ac:dyDescent="0.25">
      <c r="K415" s="50"/>
    </row>
    <row r="416" spans="11:11" x14ac:dyDescent="0.25">
      <c r="K416" s="50"/>
    </row>
    <row r="417" spans="11:11" x14ac:dyDescent="0.25">
      <c r="K417" s="50"/>
    </row>
    <row r="418" spans="11:11" x14ac:dyDescent="0.25">
      <c r="K418" s="50"/>
    </row>
    <row r="419" spans="11:11" x14ac:dyDescent="0.25">
      <c r="K419" s="50"/>
    </row>
    <row r="420" spans="11:11" x14ac:dyDescent="0.25">
      <c r="K420" s="50"/>
    </row>
    <row r="421" spans="11:11" x14ac:dyDescent="0.25">
      <c r="K421" s="50"/>
    </row>
    <row r="422" spans="11:11" x14ac:dyDescent="0.25">
      <c r="K422" s="50"/>
    </row>
    <row r="423" spans="11:11" x14ac:dyDescent="0.25">
      <c r="K423" s="50"/>
    </row>
    <row r="424" spans="11:11" x14ac:dyDescent="0.25">
      <c r="K424" s="50"/>
    </row>
    <row r="425" spans="11:11" x14ac:dyDescent="0.25">
      <c r="K425" s="50"/>
    </row>
    <row r="426" spans="11:11" x14ac:dyDescent="0.25">
      <c r="K426" s="50"/>
    </row>
    <row r="427" spans="11:11" x14ac:dyDescent="0.25">
      <c r="K427" s="50"/>
    </row>
    <row r="428" spans="11:11" x14ac:dyDescent="0.25">
      <c r="K428" s="50"/>
    </row>
    <row r="429" spans="11:11" x14ac:dyDescent="0.25">
      <c r="K429" s="50"/>
    </row>
    <row r="430" spans="11:11" x14ac:dyDescent="0.25">
      <c r="K430" s="50"/>
    </row>
    <row r="431" spans="11:11" x14ac:dyDescent="0.25">
      <c r="K431" s="50"/>
    </row>
    <row r="432" spans="11:11" x14ac:dyDescent="0.25">
      <c r="K432" s="50"/>
    </row>
    <row r="433" spans="11:11" x14ac:dyDescent="0.25">
      <c r="K433" s="50"/>
    </row>
    <row r="434" spans="11:11" x14ac:dyDescent="0.25">
      <c r="K434" s="50"/>
    </row>
    <row r="435" spans="11:11" x14ac:dyDescent="0.25">
      <c r="K435" s="50"/>
    </row>
    <row r="436" spans="11:11" x14ac:dyDescent="0.25">
      <c r="K436" s="50"/>
    </row>
    <row r="437" spans="11:11" x14ac:dyDescent="0.25">
      <c r="K437" s="50"/>
    </row>
    <row r="438" spans="11:11" x14ac:dyDescent="0.25">
      <c r="K438" s="50"/>
    </row>
    <row r="439" spans="11:11" x14ac:dyDescent="0.25">
      <c r="K439" s="50"/>
    </row>
    <row r="440" spans="11:11" x14ac:dyDescent="0.25">
      <c r="K440" s="50"/>
    </row>
    <row r="441" spans="11:11" x14ac:dyDescent="0.25">
      <c r="K441" s="50"/>
    </row>
    <row r="442" spans="11:11" x14ac:dyDescent="0.25">
      <c r="K442" s="50"/>
    </row>
    <row r="443" spans="11:11" x14ac:dyDescent="0.25">
      <c r="K443" s="50"/>
    </row>
    <row r="444" spans="11:11" x14ac:dyDescent="0.25">
      <c r="K444" s="50"/>
    </row>
    <row r="445" spans="11:11" x14ac:dyDescent="0.25">
      <c r="K445" s="50"/>
    </row>
    <row r="446" spans="11:11" x14ac:dyDescent="0.25">
      <c r="K446" s="50"/>
    </row>
    <row r="447" spans="11:11" x14ac:dyDescent="0.25">
      <c r="K447" s="50"/>
    </row>
    <row r="448" spans="11:11" x14ac:dyDescent="0.25">
      <c r="K448" s="50"/>
    </row>
    <row r="449" spans="11:11" x14ac:dyDescent="0.25">
      <c r="K449" s="50"/>
    </row>
    <row r="450" spans="11:11" x14ac:dyDescent="0.25">
      <c r="K450" s="50"/>
    </row>
    <row r="451" spans="11:11" x14ac:dyDescent="0.25">
      <c r="K451" s="50"/>
    </row>
    <row r="452" spans="11:11" x14ac:dyDescent="0.25">
      <c r="K452" s="50"/>
    </row>
    <row r="453" spans="11:11" x14ac:dyDescent="0.25">
      <c r="K453" s="50"/>
    </row>
    <row r="454" spans="11:11" x14ac:dyDescent="0.25">
      <c r="K454" s="50"/>
    </row>
    <row r="455" spans="11:11" x14ac:dyDescent="0.25">
      <c r="K455" s="50"/>
    </row>
    <row r="456" spans="11:11" x14ac:dyDescent="0.25">
      <c r="K456" s="50"/>
    </row>
    <row r="457" spans="11:11" x14ac:dyDescent="0.25">
      <c r="K457" s="50"/>
    </row>
    <row r="458" spans="11:11" x14ac:dyDescent="0.25">
      <c r="K458" s="50"/>
    </row>
    <row r="459" spans="11:11" x14ac:dyDescent="0.25">
      <c r="K459" s="50"/>
    </row>
    <row r="460" spans="11:11" x14ac:dyDescent="0.25">
      <c r="K460" s="50"/>
    </row>
    <row r="461" spans="11:11" x14ac:dyDescent="0.25">
      <c r="K461" s="50"/>
    </row>
    <row r="462" spans="11:11" x14ac:dyDescent="0.25">
      <c r="K462" s="50"/>
    </row>
    <row r="463" spans="11:11" x14ac:dyDescent="0.25">
      <c r="K463" s="50"/>
    </row>
    <row r="464" spans="11:11" x14ac:dyDescent="0.25">
      <c r="K464" s="50"/>
    </row>
    <row r="465" spans="11:11" x14ac:dyDescent="0.25">
      <c r="K465" s="50"/>
    </row>
    <row r="466" spans="11:11" x14ac:dyDescent="0.25">
      <c r="K466" s="50"/>
    </row>
    <row r="467" spans="11:11" x14ac:dyDescent="0.25">
      <c r="K467" s="50"/>
    </row>
    <row r="468" spans="11:11" x14ac:dyDescent="0.25">
      <c r="K468" s="50"/>
    </row>
    <row r="469" spans="11:11" x14ac:dyDescent="0.25">
      <c r="K469" s="50"/>
    </row>
    <row r="470" spans="11:11" x14ac:dyDescent="0.25">
      <c r="K470" s="50"/>
    </row>
    <row r="471" spans="11:11" x14ac:dyDescent="0.25">
      <c r="K471" s="50"/>
    </row>
    <row r="472" spans="11:11" x14ac:dyDescent="0.25">
      <c r="K472" s="50"/>
    </row>
    <row r="473" spans="11:11" x14ac:dyDescent="0.25">
      <c r="K473" s="50"/>
    </row>
    <row r="474" spans="11:11" x14ac:dyDescent="0.25">
      <c r="K474" s="50"/>
    </row>
    <row r="475" spans="11:11" x14ac:dyDescent="0.25">
      <c r="K475" s="50"/>
    </row>
    <row r="476" spans="11:11" x14ac:dyDescent="0.25">
      <c r="K476" s="50"/>
    </row>
    <row r="477" spans="11:11" x14ac:dyDescent="0.25">
      <c r="K477" s="50"/>
    </row>
    <row r="478" spans="11:11" x14ac:dyDescent="0.25">
      <c r="K478" s="50"/>
    </row>
    <row r="479" spans="11:11" x14ac:dyDescent="0.25">
      <c r="K479" s="50"/>
    </row>
    <row r="480" spans="11:11" x14ac:dyDescent="0.25">
      <c r="K480" s="50"/>
    </row>
    <row r="481" spans="11:11" x14ac:dyDescent="0.25">
      <c r="K481" s="50"/>
    </row>
    <row r="482" spans="11:11" x14ac:dyDescent="0.25">
      <c r="K482" s="50"/>
    </row>
    <row r="483" spans="11:11" x14ac:dyDescent="0.25">
      <c r="K483" s="50"/>
    </row>
    <row r="484" spans="11:11" x14ac:dyDescent="0.25">
      <c r="K484" s="50"/>
    </row>
    <row r="485" spans="11:11" x14ac:dyDescent="0.25">
      <c r="K485" s="50"/>
    </row>
    <row r="486" spans="11:11" x14ac:dyDescent="0.25">
      <c r="K486" s="50"/>
    </row>
    <row r="487" spans="11:11" x14ac:dyDescent="0.25">
      <c r="K487" s="50"/>
    </row>
    <row r="488" spans="11:11" x14ac:dyDescent="0.25">
      <c r="K488" s="50"/>
    </row>
    <row r="489" spans="11:11" x14ac:dyDescent="0.25">
      <c r="K489" s="50"/>
    </row>
    <row r="490" spans="11:11" x14ac:dyDescent="0.25">
      <c r="K490" s="50"/>
    </row>
    <row r="491" spans="11:11" x14ac:dyDescent="0.25">
      <c r="K491" s="50"/>
    </row>
    <row r="492" spans="11:11" x14ac:dyDescent="0.25">
      <c r="K492" s="50"/>
    </row>
    <row r="493" spans="11:11" x14ac:dyDescent="0.25">
      <c r="K493" s="50"/>
    </row>
    <row r="494" spans="11:11" x14ac:dyDescent="0.25">
      <c r="K494" s="50"/>
    </row>
    <row r="495" spans="11:11" x14ac:dyDescent="0.25">
      <c r="K495" s="50"/>
    </row>
    <row r="496" spans="11:11" x14ac:dyDescent="0.25">
      <c r="K496" s="50"/>
    </row>
    <row r="497" spans="11:11" x14ac:dyDescent="0.25">
      <c r="K497" s="50"/>
    </row>
    <row r="498" spans="11:11" x14ac:dyDescent="0.25">
      <c r="K498" s="50"/>
    </row>
    <row r="499" spans="11:11" x14ac:dyDescent="0.25">
      <c r="K499" s="50"/>
    </row>
    <row r="500" spans="11:11" x14ac:dyDescent="0.25">
      <c r="K500" s="50"/>
    </row>
    <row r="501" spans="11:11" x14ac:dyDescent="0.25">
      <c r="K501" s="50"/>
    </row>
    <row r="502" spans="11:11" x14ac:dyDescent="0.25">
      <c r="K502" s="50"/>
    </row>
    <row r="503" spans="11:11" x14ac:dyDescent="0.25">
      <c r="K503" s="50"/>
    </row>
    <row r="504" spans="11:11" x14ac:dyDescent="0.25">
      <c r="K504" s="50"/>
    </row>
    <row r="505" spans="11:11" x14ac:dyDescent="0.25">
      <c r="K505" s="50"/>
    </row>
    <row r="506" spans="11:11" x14ac:dyDescent="0.25">
      <c r="K506" s="50"/>
    </row>
    <row r="507" spans="11:11" x14ac:dyDescent="0.25">
      <c r="K507" s="50"/>
    </row>
    <row r="508" spans="11:11" x14ac:dyDescent="0.25">
      <c r="K508" s="50"/>
    </row>
    <row r="509" spans="11:11" x14ac:dyDescent="0.25">
      <c r="K509" s="50"/>
    </row>
    <row r="510" spans="11:11" x14ac:dyDescent="0.25">
      <c r="K510" s="50"/>
    </row>
    <row r="511" spans="11:11" x14ac:dyDescent="0.25">
      <c r="K511" s="50"/>
    </row>
    <row r="512" spans="11:11" x14ac:dyDescent="0.25">
      <c r="K512" s="50"/>
    </row>
    <row r="513" spans="11:11" x14ac:dyDescent="0.25">
      <c r="K513" s="50"/>
    </row>
    <row r="514" spans="11:11" x14ac:dyDescent="0.25">
      <c r="K514" s="50"/>
    </row>
    <row r="515" spans="11:11" x14ac:dyDescent="0.25">
      <c r="K515" s="50"/>
    </row>
    <row r="516" spans="11:11" x14ac:dyDescent="0.25">
      <c r="K516" s="50"/>
    </row>
    <row r="517" spans="11:11" x14ac:dyDescent="0.25">
      <c r="K517" s="50"/>
    </row>
    <row r="518" spans="11:11" x14ac:dyDescent="0.25">
      <c r="K518" s="50"/>
    </row>
    <row r="519" spans="11:11" x14ac:dyDescent="0.25">
      <c r="K519" s="50"/>
    </row>
    <row r="520" spans="11:11" x14ac:dyDescent="0.25">
      <c r="K520" s="50"/>
    </row>
    <row r="521" spans="11:11" x14ac:dyDescent="0.25">
      <c r="K521" s="50"/>
    </row>
    <row r="522" spans="11:11" x14ac:dyDescent="0.25">
      <c r="K522" s="50"/>
    </row>
    <row r="523" spans="11:11" x14ac:dyDescent="0.25">
      <c r="K523" s="50"/>
    </row>
    <row r="524" spans="11:11" x14ac:dyDescent="0.25">
      <c r="K524" s="50"/>
    </row>
    <row r="525" spans="11:11" x14ac:dyDescent="0.25">
      <c r="K525" s="50"/>
    </row>
    <row r="526" spans="11:11" x14ac:dyDescent="0.25">
      <c r="K526" s="50"/>
    </row>
    <row r="527" spans="11:11" x14ac:dyDescent="0.25">
      <c r="K527" s="50"/>
    </row>
    <row r="528" spans="11:11" x14ac:dyDescent="0.25">
      <c r="K528" s="50"/>
    </row>
    <row r="529" spans="11:11" x14ac:dyDescent="0.25">
      <c r="K529" s="50"/>
    </row>
    <row r="530" spans="11:11" x14ac:dyDescent="0.25">
      <c r="K530" s="50"/>
    </row>
    <row r="531" spans="11:11" x14ac:dyDescent="0.25">
      <c r="K531" s="50"/>
    </row>
    <row r="532" spans="11:11" x14ac:dyDescent="0.25">
      <c r="K532" s="50"/>
    </row>
    <row r="533" spans="11:11" x14ac:dyDescent="0.25">
      <c r="K533" s="50"/>
    </row>
    <row r="534" spans="11:11" x14ac:dyDescent="0.25">
      <c r="K534" s="50"/>
    </row>
    <row r="535" spans="11:11" x14ac:dyDescent="0.25">
      <c r="K535" s="50"/>
    </row>
    <row r="536" spans="11:11" x14ac:dyDescent="0.25">
      <c r="K536" s="50"/>
    </row>
    <row r="537" spans="11:11" x14ac:dyDescent="0.25">
      <c r="K537" s="50"/>
    </row>
    <row r="538" spans="11:11" x14ac:dyDescent="0.25">
      <c r="K538" s="50"/>
    </row>
    <row r="539" spans="11:11" x14ac:dyDescent="0.25">
      <c r="K539" s="50"/>
    </row>
    <row r="540" spans="11:11" x14ac:dyDescent="0.25">
      <c r="K540" s="50"/>
    </row>
    <row r="541" spans="11:11" x14ac:dyDescent="0.25">
      <c r="K541" s="50"/>
    </row>
    <row r="542" spans="11:11" x14ac:dyDescent="0.25">
      <c r="K542" s="50"/>
    </row>
    <row r="543" spans="11:11" x14ac:dyDescent="0.25">
      <c r="K543" s="50"/>
    </row>
    <row r="544" spans="11:11" x14ac:dyDescent="0.25">
      <c r="K544" s="50"/>
    </row>
    <row r="545" spans="11:11" x14ac:dyDescent="0.25">
      <c r="K545" s="50"/>
    </row>
    <row r="546" spans="11:11" x14ac:dyDescent="0.25">
      <c r="K546" s="50"/>
    </row>
    <row r="547" spans="11:11" x14ac:dyDescent="0.25">
      <c r="K547" s="50"/>
    </row>
    <row r="548" spans="11:11" x14ac:dyDescent="0.25">
      <c r="K548" s="50"/>
    </row>
    <row r="549" spans="11:11" x14ac:dyDescent="0.25">
      <c r="K549" s="50"/>
    </row>
    <row r="550" spans="11:11" x14ac:dyDescent="0.25">
      <c r="K550" s="50"/>
    </row>
    <row r="551" spans="11:11" x14ac:dyDescent="0.25">
      <c r="K551" s="50"/>
    </row>
    <row r="552" spans="11:11" x14ac:dyDescent="0.25">
      <c r="K552" s="50"/>
    </row>
    <row r="553" spans="11:11" x14ac:dyDescent="0.25">
      <c r="K553" s="50"/>
    </row>
    <row r="554" spans="11:11" x14ac:dyDescent="0.25">
      <c r="K554" s="50"/>
    </row>
    <row r="555" spans="11:11" x14ac:dyDescent="0.25">
      <c r="K555" s="50"/>
    </row>
    <row r="556" spans="11:11" x14ac:dyDescent="0.25">
      <c r="K556" s="50"/>
    </row>
    <row r="557" spans="11:11" x14ac:dyDescent="0.25">
      <c r="K557" s="50"/>
    </row>
    <row r="558" spans="11:11" x14ac:dyDescent="0.25">
      <c r="K558" s="50"/>
    </row>
    <row r="559" spans="11:11" x14ac:dyDescent="0.25">
      <c r="K559" s="50"/>
    </row>
    <row r="560" spans="11:11" x14ac:dyDescent="0.25">
      <c r="K560" s="50"/>
    </row>
    <row r="561" spans="11:11" x14ac:dyDescent="0.25">
      <c r="K561" s="50"/>
    </row>
    <row r="562" spans="11:11" x14ac:dyDescent="0.25">
      <c r="K562" s="50"/>
    </row>
    <row r="563" spans="11:11" x14ac:dyDescent="0.25">
      <c r="K563" s="50"/>
    </row>
    <row r="564" spans="11:11" x14ac:dyDescent="0.25">
      <c r="K564" s="50"/>
    </row>
    <row r="565" spans="11:11" x14ac:dyDescent="0.25">
      <c r="K565" s="50"/>
    </row>
    <row r="566" spans="11:11" x14ac:dyDescent="0.25">
      <c r="K566" s="50"/>
    </row>
    <row r="567" spans="11:11" x14ac:dyDescent="0.25">
      <c r="K567" s="50"/>
    </row>
    <row r="568" spans="11:11" x14ac:dyDescent="0.25">
      <c r="K568" s="50"/>
    </row>
    <row r="569" spans="11:11" x14ac:dyDescent="0.25">
      <c r="K569" s="50"/>
    </row>
    <row r="570" spans="11:11" x14ac:dyDescent="0.25">
      <c r="K570" s="50"/>
    </row>
    <row r="571" spans="11:11" x14ac:dyDescent="0.25">
      <c r="K571" s="50"/>
    </row>
    <row r="572" spans="11:11" x14ac:dyDescent="0.25">
      <c r="K572" s="50"/>
    </row>
    <row r="573" spans="11:11" x14ac:dyDescent="0.25">
      <c r="K573" s="50"/>
    </row>
    <row r="574" spans="11:11" x14ac:dyDescent="0.25">
      <c r="K574" s="50"/>
    </row>
    <row r="575" spans="11:11" x14ac:dyDescent="0.25">
      <c r="K575" s="50"/>
    </row>
    <row r="576" spans="11:11" x14ac:dyDescent="0.25">
      <c r="K576" s="50"/>
    </row>
    <row r="577" spans="11:11" x14ac:dyDescent="0.25">
      <c r="K577" s="50"/>
    </row>
    <row r="578" spans="11:11" x14ac:dyDescent="0.25">
      <c r="K578" s="50"/>
    </row>
    <row r="579" spans="11:11" x14ac:dyDescent="0.25">
      <c r="K579" s="50"/>
    </row>
    <row r="580" spans="11:11" x14ac:dyDescent="0.25">
      <c r="K580" s="50"/>
    </row>
    <row r="581" spans="11:11" x14ac:dyDescent="0.25">
      <c r="K581" s="50"/>
    </row>
    <row r="582" spans="11:11" x14ac:dyDescent="0.25">
      <c r="K582" s="50"/>
    </row>
    <row r="583" spans="11:11" x14ac:dyDescent="0.25">
      <c r="K583" s="50"/>
    </row>
    <row r="584" spans="11:11" x14ac:dyDescent="0.25">
      <c r="K584" s="50"/>
    </row>
    <row r="585" spans="11:11" x14ac:dyDescent="0.25">
      <c r="K585" s="50"/>
    </row>
    <row r="586" spans="11:11" x14ac:dyDescent="0.25">
      <c r="K586" s="50"/>
    </row>
    <row r="587" spans="11:11" x14ac:dyDescent="0.25">
      <c r="K587" s="50"/>
    </row>
    <row r="588" spans="11:11" x14ac:dyDescent="0.25">
      <c r="K588" s="50"/>
    </row>
    <row r="589" spans="11:11" x14ac:dyDescent="0.25">
      <c r="K589" s="50"/>
    </row>
    <row r="590" spans="11:11" x14ac:dyDescent="0.25">
      <c r="K590" s="50"/>
    </row>
    <row r="591" spans="11:11" x14ac:dyDescent="0.25">
      <c r="K591" s="50"/>
    </row>
    <row r="592" spans="11:11" x14ac:dyDescent="0.25">
      <c r="K592" s="50"/>
    </row>
    <row r="593" spans="11:11" x14ac:dyDescent="0.25">
      <c r="K593" s="50"/>
    </row>
    <row r="594" spans="11:11" x14ac:dyDescent="0.25">
      <c r="K594" s="50"/>
    </row>
    <row r="595" spans="11:11" x14ac:dyDescent="0.25">
      <c r="K595" s="50"/>
    </row>
    <row r="596" spans="11:11" x14ac:dyDescent="0.25">
      <c r="K596" s="50"/>
    </row>
    <row r="597" spans="11:11" x14ac:dyDescent="0.25">
      <c r="K597" s="50"/>
    </row>
    <row r="598" spans="11:11" x14ac:dyDescent="0.25">
      <c r="K598" s="50"/>
    </row>
    <row r="599" spans="11:11" x14ac:dyDescent="0.25">
      <c r="K599" s="50"/>
    </row>
    <row r="600" spans="11:11" x14ac:dyDescent="0.25">
      <c r="K600" s="50"/>
    </row>
    <row r="601" spans="11:11" x14ac:dyDescent="0.25">
      <c r="K601" s="50"/>
    </row>
    <row r="602" spans="11:11" x14ac:dyDescent="0.25">
      <c r="K602" s="50"/>
    </row>
    <row r="603" spans="11:11" x14ac:dyDescent="0.25">
      <c r="K603" s="50"/>
    </row>
    <row r="604" spans="11:11" x14ac:dyDescent="0.25">
      <c r="K604" s="50"/>
    </row>
    <row r="605" spans="11:11" x14ac:dyDescent="0.25">
      <c r="K605" s="50"/>
    </row>
    <row r="606" spans="11:11" x14ac:dyDescent="0.25">
      <c r="K606" s="50"/>
    </row>
    <row r="607" spans="11:11" x14ac:dyDescent="0.25">
      <c r="K607" s="50"/>
    </row>
    <row r="608" spans="11:11" x14ac:dyDescent="0.25">
      <c r="K608" s="50"/>
    </row>
    <row r="609" spans="11:11" x14ac:dyDescent="0.25">
      <c r="K609" s="50"/>
    </row>
    <row r="610" spans="11:11" x14ac:dyDescent="0.25">
      <c r="K610" s="50"/>
    </row>
    <row r="611" spans="11:11" x14ac:dyDescent="0.25">
      <c r="K611" s="50"/>
    </row>
    <row r="612" spans="11:11" x14ac:dyDescent="0.25">
      <c r="K612" s="50"/>
    </row>
    <row r="613" spans="11:11" x14ac:dyDescent="0.25">
      <c r="K613" s="50"/>
    </row>
    <row r="614" spans="11:11" x14ac:dyDescent="0.25">
      <c r="K614" s="50"/>
    </row>
    <row r="615" spans="11:11" x14ac:dyDescent="0.25">
      <c r="K615" s="50"/>
    </row>
    <row r="616" spans="11:11" x14ac:dyDescent="0.25">
      <c r="K616" s="50"/>
    </row>
    <row r="617" spans="11:11" x14ac:dyDescent="0.25">
      <c r="K617" s="50"/>
    </row>
    <row r="618" spans="11:11" x14ac:dyDescent="0.25">
      <c r="K618" s="50"/>
    </row>
    <row r="619" spans="11:11" x14ac:dyDescent="0.25">
      <c r="K619" s="50"/>
    </row>
    <row r="620" spans="11:11" x14ac:dyDescent="0.25">
      <c r="K620" s="50"/>
    </row>
    <row r="621" spans="11:11" x14ac:dyDescent="0.25">
      <c r="K621" s="50"/>
    </row>
    <row r="622" spans="11:11" x14ac:dyDescent="0.25">
      <c r="K622" s="50"/>
    </row>
    <row r="623" spans="11:11" x14ac:dyDescent="0.25">
      <c r="K623" s="50"/>
    </row>
    <row r="624" spans="11:11" x14ac:dyDescent="0.25">
      <c r="K624" s="50"/>
    </row>
    <row r="625" spans="11:11" x14ac:dyDescent="0.25">
      <c r="K625" s="50"/>
    </row>
    <row r="626" spans="11:11" x14ac:dyDescent="0.25">
      <c r="K626" s="50"/>
    </row>
    <row r="627" spans="11:11" x14ac:dyDescent="0.25">
      <c r="K627" s="50"/>
    </row>
    <row r="628" spans="11:11" x14ac:dyDescent="0.25">
      <c r="K628" s="50"/>
    </row>
    <row r="629" spans="11:11" x14ac:dyDescent="0.25">
      <c r="K629" s="50"/>
    </row>
    <row r="630" spans="11:11" x14ac:dyDescent="0.25">
      <c r="K630" s="50"/>
    </row>
    <row r="631" spans="11:11" x14ac:dyDescent="0.25">
      <c r="K631" s="50"/>
    </row>
    <row r="632" spans="11:11" x14ac:dyDescent="0.25">
      <c r="K632" s="50"/>
    </row>
    <row r="633" spans="11:11" x14ac:dyDescent="0.25">
      <c r="K633" s="50"/>
    </row>
    <row r="634" spans="11:11" x14ac:dyDescent="0.25">
      <c r="K634" s="50"/>
    </row>
    <row r="635" spans="11:11" x14ac:dyDescent="0.25">
      <c r="K635" s="50"/>
    </row>
    <row r="636" spans="11:11" x14ac:dyDescent="0.25">
      <c r="K636" s="50"/>
    </row>
    <row r="637" spans="11:11" x14ac:dyDescent="0.25">
      <c r="K637" s="50"/>
    </row>
    <row r="638" spans="11:11" x14ac:dyDescent="0.25">
      <c r="K638" s="50"/>
    </row>
    <row r="639" spans="11:11" x14ac:dyDescent="0.25">
      <c r="K639" s="50"/>
    </row>
    <row r="640" spans="11:11" x14ac:dyDescent="0.25">
      <c r="K640" s="50"/>
    </row>
    <row r="641" spans="11:11" x14ac:dyDescent="0.25">
      <c r="K641" s="50"/>
    </row>
    <row r="642" spans="11:11" x14ac:dyDescent="0.25">
      <c r="K642" s="50"/>
    </row>
    <row r="643" spans="11:11" x14ac:dyDescent="0.25">
      <c r="K643" s="50"/>
    </row>
    <row r="644" spans="11:11" x14ac:dyDescent="0.25">
      <c r="K644" s="50"/>
    </row>
    <row r="645" spans="11:11" x14ac:dyDescent="0.25">
      <c r="K645" s="50"/>
    </row>
    <row r="646" spans="11:11" x14ac:dyDescent="0.25">
      <c r="K646" s="50"/>
    </row>
    <row r="647" spans="11:11" x14ac:dyDescent="0.25">
      <c r="K647" s="50"/>
    </row>
    <row r="648" spans="11:11" x14ac:dyDescent="0.25">
      <c r="K648" s="50"/>
    </row>
    <row r="649" spans="11:11" x14ac:dyDescent="0.25">
      <c r="K649" s="50"/>
    </row>
    <row r="650" spans="11:11" x14ac:dyDescent="0.25">
      <c r="K650" s="50"/>
    </row>
    <row r="651" spans="11:11" x14ac:dyDescent="0.25">
      <c r="K651" s="50"/>
    </row>
    <row r="652" spans="11:11" x14ac:dyDescent="0.25">
      <c r="K652" s="50"/>
    </row>
    <row r="653" spans="11:11" x14ac:dyDescent="0.25">
      <c r="K653" s="50"/>
    </row>
    <row r="654" spans="11:11" x14ac:dyDescent="0.25">
      <c r="K654" s="50"/>
    </row>
    <row r="655" spans="11:11" x14ac:dyDescent="0.25">
      <c r="K655" s="50"/>
    </row>
    <row r="656" spans="11:11" x14ac:dyDescent="0.25">
      <c r="K656" s="50"/>
    </row>
    <row r="657" spans="11:11" x14ac:dyDescent="0.25">
      <c r="K657" s="50"/>
    </row>
    <row r="658" spans="11:11" x14ac:dyDescent="0.25">
      <c r="K658" s="50"/>
    </row>
    <row r="659" spans="11:11" x14ac:dyDescent="0.25">
      <c r="K659" s="50"/>
    </row>
    <row r="660" spans="11:11" x14ac:dyDescent="0.25">
      <c r="K660" s="50"/>
    </row>
    <row r="661" spans="11:11" x14ac:dyDescent="0.25">
      <c r="K661" s="50"/>
    </row>
    <row r="662" spans="11:11" x14ac:dyDescent="0.25">
      <c r="K662" s="50"/>
    </row>
    <row r="663" spans="11:11" x14ac:dyDescent="0.25">
      <c r="K663" s="50"/>
    </row>
    <row r="664" spans="11:11" x14ac:dyDescent="0.25">
      <c r="K664" s="50"/>
    </row>
    <row r="665" spans="11:11" x14ac:dyDescent="0.25">
      <c r="K665" s="50"/>
    </row>
    <row r="666" spans="11:11" x14ac:dyDescent="0.25">
      <c r="K666" s="50"/>
    </row>
    <row r="667" spans="11:11" x14ac:dyDescent="0.25">
      <c r="K667" s="50"/>
    </row>
    <row r="668" spans="11:11" x14ac:dyDescent="0.25">
      <c r="K668" s="50"/>
    </row>
    <row r="669" spans="11:11" x14ac:dyDescent="0.25">
      <c r="K669" s="50"/>
    </row>
    <row r="670" spans="11:11" x14ac:dyDescent="0.25">
      <c r="K670" s="50"/>
    </row>
    <row r="671" spans="11:11" x14ac:dyDescent="0.25">
      <c r="K671" s="50"/>
    </row>
    <row r="672" spans="11:11" x14ac:dyDescent="0.25">
      <c r="K672" s="50"/>
    </row>
    <row r="673" spans="11:11" x14ac:dyDescent="0.25">
      <c r="K673" s="50"/>
    </row>
    <row r="674" spans="11:11" x14ac:dyDescent="0.25">
      <c r="K674" s="50"/>
    </row>
    <row r="675" spans="11:11" x14ac:dyDescent="0.25">
      <c r="K675" s="50"/>
    </row>
    <row r="676" spans="11:11" x14ac:dyDescent="0.25">
      <c r="K676" s="50"/>
    </row>
    <row r="677" spans="11:11" x14ac:dyDescent="0.25">
      <c r="K677" s="50"/>
    </row>
    <row r="678" spans="11:11" x14ac:dyDescent="0.25">
      <c r="K678" s="50"/>
    </row>
    <row r="679" spans="11:11" x14ac:dyDescent="0.25">
      <c r="K679" s="50"/>
    </row>
    <row r="680" spans="11:11" x14ac:dyDescent="0.25">
      <c r="K680" s="50"/>
    </row>
    <row r="681" spans="11:11" x14ac:dyDescent="0.25">
      <c r="K681" s="50"/>
    </row>
    <row r="682" spans="11:11" x14ac:dyDescent="0.25">
      <c r="K682" s="50"/>
    </row>
    <row r="683" spans="11:11" x14ac:dyDescent="0.25">
      <c r="K683" s="50"/>
    </row>
    <row r="684" spans="11:11" x14ac:dyDescent="0.25">
      <c r="K684" s="50"/>
    </row>
    <row r="685" spans="11:11" x14ac:dyDescent="0.25">
      <c r="K685" s="50"/>
    </row>
    <row r="686" spans="11:11" x14ac:dyDescent="0.25">
      <c r="K686" s="50"/>
    </row>
    <row r="687" spans="11:11" x14ac:dyDescent="0.25">
      <c r="K687" s="50"/>
    </row>
    <row r="688" spans="11:11" x14ac:dyDescent="0.25">
      <c r="K688" s="50"/>
    </row>
    <row r="689" spans="11:11" x14ac:dyDescent="0.25">
      <c r="K689" s="50"/>
    </row>
    <row r="690" spans="11:11" x14ac:dyDescent="0.25">
      <c r="K690" s="50"/>
    </row>
    <row r="691" spans="11:11" x14ac:dyDescent="0.25">
      <c r="K691" s="50"/>
    </row>
    <row r="692" spans="11:11" x14ac:dyDescent="0.25">
      <c r="K692" s="50"/>
    </row>
    <row r="693" spans="11:11" x14ac:dyDescent="0.25">
      <c r="K693" s="50"/>
    </row>
    <row r="694" spans="11:11" x14ac:dyDescent="0.25">
      <c r="K694" s="50"/>
    </row>
    <row r="695" spans="11:11" x14ac:dyDescent="0.25">
      <c r="K695" s="50"/>
    </row>
    <row r="696" spans="11:11" x14ac:dyDescent="0.25">
      <c r="K696" s="50"/>
    </row>
    <row r="697" spans="11:11" x14ac:dyDescent="0.25">
      <c r="K697" s="50"/>
    </row>
    <row r="698" spans="11:11" x14ac:dyDescent="0.25">
      <c r="K698" s="50"/>
    </row>
    <row r="699" spans="11:11" x14ac:dyDescent="0.25">
      <c r="K699" s="50"/>
    </row>
    <row r="700" spans="11:11" x14ac:dyDescent="0.25">
      <c r="K700" s="50"/>
    </row>
    <row r="701" spans="11:11" x14ac:dyDescent="0.25">
      <c r="K701" s="50"/>
    </row>
    <row r="702" spans="11:11" x14ac:dyDescent="0.25">
      <c r="K702" s="50"/>
    </row>
    <row r="703" spans="11:11" x14ac:dyDescent="0.25">
      <c r="K703" s="50"/>
    </row>
    <row r="704" spans="11:11" x14ac:dyDescent="0.25">
      <c r="K704" s="50"/>
    </row>
    <row r="705" spans="11:11" x14ac:dyDescent="0.25">
      <c r="K705" s="50"/>
    </row>
    <row r="706" spans="11:11" x14ac:dyDescent="0.25">
      <c r="K706" s="50"/>
    </row>
    <row r="707" spans="11:11" x14ac:dyDescent="0.25">
      <c r="K707" s="50"/>
    </row>
    <row r="708" spans="11:11" x14ac:dyDescent="0.25">
      <c r="K708" s="50"/>
    </row>
    <row r="709" spans="11:11" x14ac:dyDescent="0.25">
      <c r="K709" s="50"/>
    </row>
    <row r="710" spans="11:11" x14ac:dyDescent="0.25">
      <c r="K710" s="50"/>
    </row>
    <row r="711" spans="11:11" x14ac:dyDescent="0.25">
      <c r="K711" s="50"/>
    </row>
    <row r="712" spans="11:11" x14ac:dyDescent="0.25">
      <c r="K712" s="50"/>
    </row>
    <row r="713" spans="11:11" x14ac:dyDescent="0.25">
      <c r="K713" s="50"/>
    </row>
    <row r="714" spans="11:11" x14ac:dyDescent="0.25">
      <c r="K714" s="50"/>
    </row>
    <row r="715" spans="11:11" x14ac:dyDescent="0.25">
      <c r="K715" s="50"/>
    </row>
    <row r="716" spans="11:11" x14ac:dyDescent="0.25">
      <c r="K716" s="50"/>
    </row>
    <row r="717" spans="11:11" x14ac:dyDescent="0.25">
      <c r="K717" s="50"/>
    </row>
    <row r="718" spans="11:11" x14ac:dyDescent="0.25">
      <c r="K718" s="50"/>
    </row>
    <row r="719" spans="11:11" x14ac:dyDescent="0.25">
      <c r="K719" s="50"/>
    </row>
    <row r="720" spans="11:11" x14ac:dyDescent="0.25">
      <c r="K720" s="50"/>
    </row>
    <row r="721" spans="11:11" x14ac:dyDescent="0.25">
      <c r="K721" s="50"/>
    </row>
    <row r="722" spans="11:11" x14ac:dyDescent="0.25">
      <c r="K722" s="50"/>
    </row>
    <row r="723" spans="11:11" x14ac:dyDescent="0.25">
      <c r="K723" s="50"/>
    </row>
    <row r="724" spans="11:11" x14ac:dyDescent="0.25">
      <c r="K724" s="50"/>
    </row>
    <row r="725" spans="11:11" x14ac:dyDescent="0.25">
      <c r="K725" s="50"/>
    </row>
    <row r="726" spans="11:11" x14ac:dyDescent="0.25">
      <c r="K726" s="50"/>
    </row>
    <row r="727" spans="11:11" x14ac:dyDescent="0.25">
      <c r="K727" s="50"/>
    </row>
    <row r="728" spans="11:11" x14ac:dyDescent="0.25">
      <c r="K728" s="50"/>
    </row>
    <row r="729" spans="11:11" x14ac:dyDescent="0.25">
      <c r="K729" s="50"/>
    </row>
    <row r="730" spans="11:11" x14ac:dyDescent="0.25">
      <c r="K730" s="50"/>
    </row>
    <row r="731" spans="11:11" x14ac:dyDescent="0.25">
      <c r="K731" s="50"/>
    </row>
    <row r="732" spans="11:11" x14ac:dyDescent="0.25">
      <c r="K732" s="50"/>
    </row>
    <row r="733" spans="11:11" x14ac:dyDescent="0.25">
      <c r="K733" s="50"/>
    </row>
    <row r="734" spans="11:11" x14ac:dyDescent="0.25">
      <c r="K734" s="50"/>
    </row>
    <row r="735" spans="11:11" x14ac:dyDescent="0.25">
      <c r="K735" s="50"/>
    </row>
    <row r="736" spans="11:11" x14ac:dyDescent="0.25">
      <c r="K736" s="50"/>
    </row>
    <row r="737" spans="11:11" x14ac:dyDescent="0.25">
      <c r="K737" s="50"/>
    </row>
    <row r="738" spans="11:11" x14ac:dyDescent="0.25">
      <c r="K738" s="50"/>
    </row>
    <row r="739" spans="11:11" x14ac:dyDescent="0.25">
      <c r="K739" s="50"/>
    </row>
    <row r="740" spans="11:11" x14ac:dyDescent="0.25">
      <c r="K740" s="50"/>
    </row>
    <row r="741" spans="11:11" x14ac:dyDescent="0.25">
      <c r="K741" s="50"/>
    </row>
    <row r="742" spans="11:11" x14ac:dyDescent="0.25">
      <c r="K742" s="50"/>
    </row>
    <row r="743" spans="11:11" x14ac:dyDescent="0.25">
      <c r="K743" s="50"/>
    </row>
    <row r="744" spans="11:11" x14ac:dyDescent="0.25">
      <c r="K744" s="50"/>
    </row>
    <row r="745" spans="11:11" x14ac:dyDescent="0.25">
      <c r="K745" s="50"/>
    </row>
    <row r="746" spans="11:11" x14ac:dyDescent="0.25">
      <c r="K746" s="50"/>
    </row>
    <row r="747" spans="11:11" x14ac:dyDescent="0.25">
      <c r="K747" s="50"/>
    </row>
    <row r="748" spans="11:11" x14ac:dyDescent="0.25">
      <c r="K748" s="50"/>
    </row>
    <row r="749" spans="11:11" x14ac:dyDescent="0.25">
      <c r="K749" s="50"/>
    </row>
    <row r="750" spans="11:11" x14ac:dyDescent="0.25">
      <c r="K750" s="50"/>
    </row>
    <row r="751" spans="11:11" x14ac:dyDescent="0.25">
      <c r="K751" s="50"/>
    </row>
    <row r="752" spans="11:11" x14ac:dyDescent="0.25">
      <c r="K752" s="50"/>
    </row>
    <row r="753" spans="11:11" x14ac:dyDescent="0.25">
      <c r="K753" s="50"/>
    </row>
    <row r="754" spans="11:11" x14ac:dyDescent="0.25">
      <c r="K754" s="50"/>
    </row>
    <row r="755" spans="11:11" x14ac:dyDescent="0.25">
      <c r="K755" s="50"/>
    </row>
    <row r="756" spans="11:11" x14ac:dyDescent="0.25">
      <c r="K756" s="50"/>
    </row>
    <row r="757" spans="11:11" x14ac:dyDescent="0.25">
      <c r="K757" s="50"/>
    </row>
    <row r="758" spans="11:11" x14ac:dyDescent="0.25">
      <c r="K758" s="50"/>
    </row>
    <row r="759" spans="11:11" x14ac:dyDescent="0.25">
      <c r="K759" s="50"/>
    </row>
    <row r="760" spans="11:11" x14ac:dyDescent="0.25">
      <c r="K760" s="50"/>
    </row>
    <row r="761" spans="11:11" x14ac:dyDescent="0.25">
      <c r="K761" s="50"/>
    </row>
    <row r="762" spans="11:11" x14ac:dyDescent="0.25">
      <c r="K762" s="50"/>
    </row>
    <row r="763" spans="11:11" x14ac:dyDescent="0.25">
      <c r="K763" s="50"/>
    </row>
    <row r="764" spans="11:11" x14ac:dyDescent="0.25">
      <c r="K764" s="50"/>
    </row>
    <row r="765" spans="11:11" x14ac:dyDescent="0.25">
      <c r="K765" s="50"/>
    </row>
    <row r="766" spans="11:11" x14ac:dyDescent="0.25">
      <c r="K766" s="50"/>
    </row>
    <row r="767" spans="11:11" x14ac:dyDescent="0.25">
      <c r="K767" s="50"/>
    </row>
    <row r="768" spans="11:11" x14ac:dyDescent="0.25">
      <c r="K768" s="50"/>
    </row>
    <row r="769" spans="11:11" x14ac:dyDescent="0.25">
      <c r="K769" s="50"/>
    </row>
    <row r="770" spans="11:11" x14ac:dyDescent="0.25">
      <c r="K770" s="50"/>
    </row>
    <row r="771" spans="11:11" x14ac:dyDescent="0.25">
      <c r="K771" s="50"/>
    </row>
    <row r="772" spans="11:11" x14ac:dyDescent="0.25">
      <c r="K772" s="50"/>
    </row>
    <row r="773" spans="11:11" x14ac:dyDescent="0.25">
      <c r="K773" s="50"/>
    </row>
    <row r="774" spans="11:11" x14ac:dyDescent="0.25">
      <c r="K774" s="50"/>
    </row>
    <row r="775" spans="11:11" x14ac:dyDescent="0.25">
      <c r="K775" s="50"/>
    </row>
    <row r="776" spans="11:11" x14ac:dyDescent="0.25">
      <c r="K776" s="50"/>
    </row>
    <row r="777" spans="11:11" x14ac:dyDescent="0.25">
      <c r="K777" s="50"/>
    </row>
    <row r="778" spans="11:11" x14ac:dyDescent="0.25">
      <c r="K778" s="50"/>
    </row>
    <row r="779" spans="11:11" x14ac:dyDescent="0.25">
      <c r="K779" s="50"/>
    </row>
    <row r="780" spans="11:11" x14ac:dyDescent="0.25">
      <c r="K780" s="50"/>
    </row>
    <row r="781" spans="11:11" x14ac:dyDescent="0.25">
      <c r="K781" s="50"/>
    </row>
    <row r="782" spans="11:11" x14ac:dyDescent="0.25">
      <c r="K782" s="50"/>
    </row>
    <row r="783" spans="11:11" x14ac:dyDescent="0.25">
      <c r="K783" s="50"/>
    </row>
    <row r="784" spans="11:11" x14ac:dyDescent="0.25">
      <c r="K784" s="50"/>
    </row>
    <row r="785" spans="11:11" x14ac:dyDescent="0.25">
      <c r="K785" s="50"/>
    </row>
    <row r="786" spans="11:11" x14ac:dyDescent="0.25">
      <c r="K786" s="50"/>
    </row>
    <row r="787" spans="11:11" x14ac:dyDescent="0.25">
      <c r="K787" s="50"/>
    </row>
    <row r="788" spans="11:11" x14ac:dyDescent="0.25">
      <c r="K788" s="50"/>
    </row>
    <row r="789" spans="11:11" x14ac:dyDescent="0.25">
      <c r="K789" s="50"/>
    </row>
    <row r="790" spans="11:11" x14ac:dyDescent="0.25">
      <c r="K790" s="50"/>
    </row>
    <row r="791" spans="11:11" x14ac:dyDescent="0.25">
      <c r="K791" s="50"/>
    </row>
    <row r="792" spans="11:11" x14ac:dyDescent="0.25">
      <c r="K792" s="50"/>
    </row>
    <row r="793" spans="11:11" x14ac:dyDescent="0.25">
      <c r="K793" s="50"/>
    </row>
    <row r="794" spans="11:11" x14ac:dyDescent="0.25">
      <c r="K794" s="50"/>
    </row>
    <row r="795" spans="11:11" x14ac:dyDescent="0.25">
      <c r="K795" s="50"/>
    </row>
    <row r="796" spans="11:11" x14ac:dyDescent="0.25">
      <c r="K796" s="50"/>
    </row>
    <row r="797" spans="11:11" x14ac:dyDescent="0.25">
      <c r="K797" s="50"/>
    </row>
    <row r="798" spans="11:11" x14ac:dyDescent="0.25">
      <c r="K798" s="50"/>
    </row>
    <row r="799" spans="11:11" x14ac:dyDescent="0.25">
      <c r="K799" s="50"/>
    </row>
    <row r="800" spans="11:11" x14ac:dyDescent="0.25">
      <c r="K800" s="50"/>
    </row>
    <row r="801" spans="11:11" x14ac:dyDescent="0.25">
      <c r="K801" s="50"/>
    </row>
    <row r="802" spans="11:11" x14ac:dyDescent="0.25">
      <c r="K802" s="50"/>
    </row>
    <row r="803" spans="11:11" x14ac:dyDescent="0.25">
      <c r="K803" s="50"/>
    </row>
    <row r="804" spans="11:11" x14ac:dyDescent="0.25">
      <c r="K804" s="50"/>
    </row>
    <row r="805" spans="11:11" x14ac:dyDescent="0.25">
      <c r="K805" s="50"/>
    </row>
    <row r="806" spans="11:11" x14ac:dyDescent="0.25">
      <c r="K806" s="50"/>
    </row>
    <row r="807" spans="11:11" x14ac:dyDescent="0.25">
      <c r="K807" s="50"/>
    </row>
    <row r="808" spans="11:11" x14ac:dyDescent="0.25">
      <c r="K808" s="50"/>
    </row>
  </sheetData>
  <mergeCells count="25">
    <mergeCell ref="A1:K1"/>
    <mergeCell ref="A2:K2"/>
    <mergeCell ref="A3:A4"/>
    <mergeCell ref="B3:B4"/>
    <mergeCell ref="C3:C4"/>
    <mergeCell ref="D3:G3"/>
    <mergeCell ref="H3:K3"/>
    <mergeCell ref="A12:J12"/>
    <mergeCell ref="A13:A14"/>
    <mergeCell ref="B13:B14"/>
    <mergeCell ref="C13:C14"/>
    <mergeCell ref="D13:G13"/>
    <mergeCell ref="H13:J13"/>
    <mergeCell ref="A22:J22"/>
    <mergeCell ref="A23:A24"/>
    <mergeCell ref="B23:B24"/>
    <mergeCell ref="C23:C24"/>
    <mergeCell ref="D23:G23"/>
    <mergeCell ref="H23:J23"/>
    <mergeCell ref="A35:J35"/>
    <mergeCell ref="A36:A37"/>
    <mergeCell ref="B36:B37"/>
    <mergeCell ref="C36:C37"/>
    <mergeCell ref="D36:G36"/>
    <mergeCell ref="H36:J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5</vt:i4>
      </vt:variant>
    </vt:vector>
  </HeadingPairs>
  <TitlesOfParts>
    <vt:vector size="14" baseType="lpstr">
      <vt:lpstr>wykaz cen do przetargu 2021</vt:lpstr>
      <vt:lpstr>odbieranie - m+u+gmina kup poj</vt:lpstr>
      <vt:lpstr>odbieranie - bez mycia</vt:lpstr>
      <vt:lpstr>odbieranie - bez mycia i utrzym</vt:lpstr>
      <vt:lpstr>odbieranie - mycie utrzymanie</vt:lpstr>
      <vt:lpstr>przetwarzanie odpadów</vt:lpstr>
      <vt:lpstr>wykaz cen przetwarzanie odpadów</vt:lpstr>
      <vt:lpstr>Arkusz1</vt:lpstr>
      <vt:lpstr>deklaracje</vt:lpstr>
      <vt:lpstr>'odbieranie - bez mycia'!_Toc467692441</vt:lpstr>
      <vt:lpstr>'odbieranie - bez mycia i utrzym'!_Toc467692441</vt:lpstr>
      <vt:lpstr>'odbieranie - m+u+gmina kup poj'!_Toc467692441</vt:lpstr>
      <vt:lpstr>'odbieranie - mycie utrzymanie'!_Toc467692441</vt:lpstr>
      <vt:lpstr>'wykaz cen przetwarzanie odpadów'!_Toc467692441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K.Szambowska</cp:lastModifiedBy>
  <cp:lastPrinted>2021-11-30T08:23:38Z</cp:lastPrinted>
  <dcterms:created xsi:type="dcterms:W3CDTF">2020-03-04T09:34:03Z</dcterms:created>
  <dcterms:modified xsi:type="dcterms:W3CDTF">2021-12-01T10:33:37Z</dcterms:modified>
</cp:coreProperties>
</file>