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440" windowHeight="12435" tabRatio="819" firstSheet="3" activeTab="12"/>
  </bookViews>
  <sheets>
    <sheet name="Strona tytułowa" sheetId="21" r:id="rId1"/>
    <sheet name="Spis treści" sheetId="22" r:id="rId2"/>
    <sheet name="1.Metodologia" sheetId="4" r:id="rId3"/>
    <sheet name="2. Użyteczność publiczna" sheetId="1" r:id="rId4"/>
    <sheet name="3. Mieszkalnictwo" sheetId="2" r:id="rId5"/>
    <sheet name="4. Transport" sheetId="3" r:id="rId6"/>
    <sheet name="5. Oświetlenie" sheetId="5" r:id="rId7"/>
    <sheet name="6. Wod-kan" sheetId="6" r:id="rId8"/>
    <sheet name="7. Przemysł i usługi" sheetId="8" r:id="rId9"/>
    <sheet name="8. Podsumowanie" sheetId="15" r:id="rId10"/>
    <sheet name="9. Prognoza 2020" sheetId="19" r:id="rId11"/>
    <sheet name="10. Raport z działań 2020" sheetId="23" r:id="rId12"/>
    <sheet name="11. HRF 2021-2030" sheetId="24" r:id="rId13"/>
  </sheets>
  <externalReferences>
    <externalReference r:id="rId14"/>
  </externalReferences>
  <definedNames>
    <definedName name="_xlnm.Print_Area" localSheetId="5">'4. Transport'!$A$1:$AF$124</definedName>
    <definedName name="_xlnm.Print_Area" localSheetId="8">'7. Przemysł i usługi'!$A$1:$AJ$50</definedName>
    <definedName name="_xlnm.Print_Area" localSheetId="10">'9. Prognoza 2020'!$A$1:$O$140</definedName>
    <definedName name="_xlnm.Print_Area" localSheetId="1">'Spis treści'!$A$1:$D$12</definedName>
    <definedName name="_xlnm.Print_Area" localSheetId="0">'Strona tytułowa'!$A$1:$G$45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24"/>
  <c r="Q14"/>
  <c r="P14"/>
  <c r="O14"/>
  <c r="F14"/>
  <c r="G14"/>
  <c r="E62" i="23" l="1"/>
  <c r="D63"/>
  <c r="E70"/>
  <c r="F54" i="24"/>
  <c r="E55"/>
  <c r="E56"/>
  <c r="E57"/>
  <c r="E54"/>
  <c r="D55"/>
  <c r="D56"/>
  <c r="D57"/>
  <c r="D54"/>
  <c r="Q34"/>
  <c r="F63" s="1"/>
  <c r="P34"/>
  <c r="F62" s="1"/>
  <c r="O34"/>
  <c r="F61" s="1"/>
  <c r="O17"/>
  <c r="Q19"/>
  <c r="Q20"/>
  <c r="Q21"/>
  <c r="Q22"/>
  <c r="Q23"/>
  <c r="Q24"/>
  <c r="Q25"/>
  <c r="Q18"/>
  <c r="P20"/>
  <c r="P21"/>
  <c r="P22"/>
  <c r="P23"/>
  <c r="P24"/>
  <c r="P25"/>
  <c r="P19"/>
  <c r="P18"/>
  <c r="O20"/>
  <c r="O21"/>
  <c r="O22"/>
  <c r="O23"/>
  <c r="O24"/>
  <c r="O25"/>
  <c r="O19"/>
  <c r="P17" l="1"/>
  <c r="Q17"/>
  <c r="O18"/>
  <c r="Q16" l="1"/>
  <c r="P16"/>
  <c r="O16"/>
  <c r="Q15"/>
  <c r="P15"/>
  <c r="O15"/>
  <c r="Q13" l="1"/>
  <c r="P13"/>
  <c r="O13"/>
  <c r="F13"/>
  <c r="Q12"/>
  <c r="P12"/>
  <c r="O12"/>
  <c r="Q11"/>
  <c r="P11"/>
  <c r="O11"/>
  <c r="F11"/>
  <c r="Q9"/>
  <c r="Q10"/>
  <c r="Q8"/>
  <c r="P10"/>
  <c r="O10"/>
  <c r="F10"/>
  <c r="P9"/>
  <c r="O9"/>
  <c r="D13"/>
  <c r="G42"/>
  <c r="Q7" s="1"/>
  <c r="F42"/>
  <c r="P7" s="1"/>
  <c r="E42"/>
  <c r="O7" s="1"/>
  <c r="F50"/>
  <c r="E50"/>
  <c r="G48"/>
  <c r="F48"/>
  <c r="P8" s="1"/>
  <c r="E48"/>
  <c r="O8" s="1"/>
  <c r="G47"/>
  <c r="F47"/>
  <c r="E47"/>
  <c r="G45"/>
  <c r="F45"/>
  <c r="E45"/>
  <c r="G44"/>
  <c r="F44"/>
  <c r="E44"/>
  <c r="G43"/>
  <c r="F43"/>
  <c r="E43"/>
  <c r="G41"/>
  <c r="F41"/>
  <c r="E41"/>
  <c r="F25" l="1"/>
  <c r="F24"/>
  <c r="F23"/>
  <c r="F22"/>
  <c r="F21"/>
  <c r="F20"/>
  <c r="F19"/>
  <c r="F18"/>
  <c r="E25"/>
  <c r="E24"/>
  <c r="E23"/>
  <c r="E22"/>
  <c r="E21"/>
  <c r="E20"/>
  <c r="E19"/>
  <c r="E18"/>
  <c r="E17" s="1"/>
  <c r="D25"/>
  <c r="D24"/>
  <c r="D23"/>
  <c r="D22"/>
  <c r="D21"/>
  <c r="D20"/>
  <c r="D19"/>
  <c r="D18"/>
  <c r="D17" s="1"/>
  <c r="E16"/>
  <c r="F16" s="1"/>
  <c r="G15"/>
  <c r="F15" s="1"/>
  <c r="D15"/>
  <c r="G13"/>
  <c r="F12"/>
  <c r="G12"/>
  <c r="E12"/>
  <c r="D12"/>
  <c r="F17" l="1"/>
  <c r="D51"/>
  <c r="D50"/>
  <c r="D49"/>
  <c r="D48"/>
  <c r="D44"/>
  <c r="D43"/>
  <c r="E11"/>
  <c r="D10"/>
  <c r="D34" s="1"/>
  <c r="E10"/>
  <c r="E34" s="1"/>
  <c r="J16" i="23"/>
  <c r="F62"/>
  <c r="F61"/>
  <c r="F60"/>
  <c r="E63"/>
  <c r="E41" l="1"/>
  <c r="I41"/>
  <c r="K41"/>
  <c r="G41"/>
  <c r="H41"/>
  <c r="J39"/>
  <c r="K25"/>
  <c r="I25"/>
  <c r="L40"/>
  <c r="J40" s="1"/>
  <c r="F40"/>
  <c r="L39"/>
  <c r="F39"/>
  <c r="F32"/>
  <c r="J14"/>
  <c r="L14"/>
  <c r="G25"/>
  <c r="G32" s="1"/>
  <c r="F41" l="1"/>
  <c r="J41"/>
  <c r="L41"/>
  <c r="J10"/>
  <c r="H10"/>
  <c r="H16"/>
  <c r="F16"/>
  <c r="I14"/>
  <c r="F10" l="1"/>
  <c r="F22" s="1"/>
  <c r="F43" s="1"/>
  <c r="L7"/>
  <c r="J7"/>
  <c r="J22" s="1"/>
  <c r="H7"/>
  <c r="H22" s="1"/>
  <c r="K32"/>
  <c r="H32"/>
  <c r="I32"/>
  <c r="J32"/>
  <c r="L32"/>
  <c r="E32"/>
  <c r="E22"/>
  <c r="G22"/>
  <c r="I22"/>
  <c r="D61" s="1"/>
  <c r="D57"/>
  <c r="D56"/>
  <c r="D55"/>
  <c r="D54"/>
  <c r="D50"/>
  <c r="D49"/>
  <c r="K22"/>
  <c r="D62" s="1"/>
  <c r="G43" l="1"/>
  <c r="D60"/>
  <c r="I43"/>
  <c r="J43"/>
  <c r="E61" s="1"/>
  <c r="E69" s="1"/>
  <c r="K43"/>
  <c r="E43"/>
  <c r="H43"/>
  <c r="E60" s="1"/>
  <c r="E68" s="1"/>
  <c r="L22"/>
  <c r="L43" s="1"/>
  <c r="G34" i="24" l="1"/>
  <c r="F56" s="1"/>
  <c r="F34" l="1"/>
  <c r="F55" s="1"/>
  <c r="C10" i="2" l="1"/>
  <c r="H16" l="1"/>
  <c r="I16" l="1"/>
  <c r="G13" i="19" l="1"/>
  <c r="J13"/>
  <c r="B13"/>
  <c r="J42"/>
  <c r="J41"/>
  <c r="J40"/>
  <c r="G41"/>
  <c r="G42"/>
  <c r="G40"/>
  <c r="B41"/>
  <c r="B42"/>
  <c r="C4" i="8"/>
  <c r="C5"/>
  <c r="C6"/>
  <c r="C7"/>
  <c r="C8"/>
  <c r="J32" i="19" l="1"/>
  <c r="J31"/>
  <c r="J30"/>
  <c r="J29"/>
  <c r="J28"/>
  <c r="G28"/>
  <c r="G29"/>
  <c r="G30"/>
  <c r="G31"/>
  <c r="G32"/>
  <c r="G27"/>
  <c r="B32"/>
  <c r="B29"/>
  <c r="B30"/>
  <c r="B31"/>
  <c r="B27"/>
  <c r="B28"/>
  <c r="B26"/>
  <c r="C7" i="15" l="1"/>
  <c r="C6"/>
  <c r="B41" i="3" l="1"/>
  <c r="Z4"/>
  <c r="Z5"/>
  <c r="AA5" s="1"/>
  <c r="Z6"/>
  <c r="Z7"/>
  <c r="Z3"/>
  <c r="Q4"/>
  <c r="Q5"/>
  <c r="R5" s="1"/>
  <c r="Q6"/>
  <c r="Q7"/>
  <c r="Q3"/>
  <c r="H4"/>
  <c r="H5"/>
  <c r="H6"/>
  <c r="H7"/>
  <c r="H3"/>
  <c r="E102"/>
  <c r="F102"/>
  <c r="G102"/>
  <c r="H102"/>
  <c r="I102"/>
  <c r="D102"/>
  <c r="E101"/>
  <c r="F101"/>
  <c r="G101"/>
  <c r="H101"/>
  <c r="I101"/>
  <c r="D101"/>
  <c r="I96"/>
  <c r="I97" s="1"/>
  <c r="I104" s="1"/>
  <c r="H96"/>
  <c r="H97" s="1"/>
  <c r="H104" s="1"/>
  <c r="G96"/>
  <c r="G97" s="1"/>
  <c r="G104" s="1"/>
  <c r="F96"/>
  <c r="F103" s="1"/>
  <c r="E96"/>
  <c r="E97" s="1"/>
  <c r="E104" s="1"/>
  <c r="D96"/>
  <c r="D97" s="1"/>
  <c r="D104" s="1"/>
  <c r="B40"/>
  <c r="B39"/>
  <c r="AB5"/>
  <c r="AE5"/>
  <c r="S5"/>
  <c r="V5"/>
  <c r="M5"/>
  <c r="J5"/>
  <c r="G5"/>
  <c r="E87"/>
  <c r="E88"/>
  <c r="E86"/>
  <c r="I5" l="1"/>
  <c r="K5" s="1"/>
  <c r="L5" s="1"/>
  <c r="N5" s="1"/>
  <c r="I103"/>
  <c r="I105" s="1"/>
  <c r="E103"/>
  <c r="E105" s="1"/>
  <c r="D103"/>
  <c r="D105" s="1"/>
  <c r="H103"/>
  <c r="H105" s="1"/>
  <c r="F97"/>
  <c r="F104" s="1"/>
  <c r="F105" s="1"/>
  <c r="G103"/>
  <c r="G105" s="1"/>
  <c r="AC5"/>
  <c r="AD5" s="1"/>
  <c r="AF5" s="1"/>
  <c r="T5"/>
  <c r="U5" s="1"/>
  <c r="W5" s="1"/>
  <c r="E89"/>
  <c r="F122" l="1"/>
  <c r="F121"/>
  <c r="F123"/>
  <c r="G121"/>
  <c r="G123"/>
  <c r="G122"/>
  <c r="I122"/>
  <c r="I123"/>
  <c r="I121"/>
  <c r="H123"/>
  <c r="H121"/>
  <c r="H122"/>
  <c r="E122"/>
  <c r="E123"/>
  <c r="E121"/>
  <c r="D122"/>
  <c r="J122" s="1"/>
  <c r="D121"/>
  <c r="D123"/>
  <c r="C39"/>
  <c r="E39"/>
  <c r="C29" i="4"/>
  <c r="J121" i="3" l="1"/>
  <c r="P7" s="1"/>
  <c r="E3" i="6" l="1"/>
  <c r="F3" s="1"/>
  <c r="AS4" i="1" l="1"/>
  <c r="AS5"/>
  <c r="AS6"/>
  <c r="AS7"/>
  <c r="AS8"/>
  <c r="AS9"/>
  <c r="AS10"/>
  <c r="AS11"/>
  <c r="AS12"/>
  <c r="AS13"/>
  <c r="AS14"/>
  <c r="AS15"/>
  <c r="AS16"/>
  <c r="AS18"/>
  <c r="AS17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3"/>
  <c r="AP4"/>
  <c r="AQ4" s="1"/>
  <c r="AR4" s="1"/>
  <c r="AT4" s="1"/>
  <c r="AP5"/>
  <c r="AQ5" s="1"/>
  <c r="AR5" s="1"/>
  <c r="AT5" s="1"/>
  <c r="AP6"/>
  <c r="AQ6" s="1"/>
  <c r="AR6" s="1"/>
  <c r="AT6" s="1"/>
  <c r="AP7"/>
  <c r="AQ7" s="1"/>
  <c r="AR7" s="1"/>
  <c r="AP8"/>
  <c r="AQ8" s="1"/>
  <c r="AR8" s="1"/>
  <c r="AT8" s="1"/>
  <c r="AP9"/>
  <c r="AQ9" s="1"/>
  <c r="AR9" s="1"/>
  <c r="AT9" s="1"/>
  <c r="AP10"/>
  <c r="AQ10" s="1"/>
  <c r="AR10" s="1"/>
  <c r="AT10" s="1"/>
  <c r="AP11"/>
  <c r="AQ11" s="1"/>
  <c r="AR11" s="1"/>
  <c r="AP12"/>
  <c r="AQ12" s="1"/>
  <c r="AR12" s="1"/>
  <c r="AT12" s="1"/>
  <c r="AP13"/>
  <c r="AQ13" s="1"/>
  <c r="AR13" s="1"/>
  <c r="AT13" s="1"/>
  <c r="AP14"/>
  <c r="AQ14" s="1"/>
  <c r="AR14" s="1"/>
  <c r="AT14" s="1"/>
  <c r="AP15"/>
  <c r="AQ15" s="1"/>
  <c r="AR15" s="1"/>
  <c r="AP16"/>
  <c r="AQ16" s="1"/>
  <c r="AR16" s="1"/>
  <c r="AT16" s="1"/>
  <c r="AP18"/>
  <c r="AQ18" s="1"/>
  <c r="AR18" s="1"/>
  <c r="AT18" s="1"/>
  <c r="AP17"/>
  <c r="AP19"/>
  <c r="AP20"/>
  <c r="AQ20" s="1"/>
  <c r="AR20" s="1"/>
  <c r="AT20" s="1"/>
  <c r="AP21"/>
  <c r="AQ21" s="1"/>
  <c r="AR21" s="1"/>
  <c r="AT21" s="1"/>
  <c r="AP22"/>
  <c r="AP23"/>
  <c r="AP24"/>
  <c r="AQ24" s="1"/>
  <c r="AR24" s="1"/>
  <c r="AT24" s="1"/>
  <c r="AP25"/>
  <c r="AQ25" s="1"/>
  <c r="AR25" s="1"/>
  <c r="AP26"/>
  <c r="AQ26" s="1"/>
  <c r="AR26" s="1"/>
  <c r="AP27"/>
  <c r="AP28"/>
  <c r="AQ28" s="1"/>
  <c r="AR28" s="1"/>
  <c r="AT28" s="1"/>
  <c r="AP29"/>
  <c r="AQ29" s="1"/>
  <c r="AR29" s="1"/>
  <c r="AP30"/>
  <c r="AQ30" s="1"/>
  <c r="AR30" s="1"/>
  <c r="AP31"/>
  <c r="AP32"/>
  <c r="AQ32" s="1"/>
  <c r="AR32" s="1"/>
  <c r="AT32" s="1"/>
  <c r="AP33"/>
  <c r="AQ33" s="1"/>
  <c r="AR33" s="1"/>
  <c r="AT33" s="1"/>
  <c r="AP34"/>
  <c r="AQ34" s="1"/>
  <c r="AR34" s="1"/>
  <c r="AP35"/>
  <c r="AP36"/>
  <c r="AQ36" s="1"/>
  <c r="AR36" s="1"/>
  <c r="AT36" s="1"/>
  <c r="AP37"/>
  <c r="AQ37" s="1"/>
  <c r="AR37" s="1"/>
  <c r="AT37" s="1"/>
  <c r="AP38"/>
  <c r="AQ38" s="1"/>
  <c r="AR38" s="1"/>
  <c r="AP39"/>
  <c r="AP40"/>
  <c r="AQ40" s="1"/>
  <c r="AR40" s="1"/>
  <c r="AT40" s="1"/>
  <c r="AP41"/>
  <c r="AQ41" s="1"/>
  <c r="AR41" s="1"/>
  <c r="AP42"/>
  <c r="AQ42" s="1"/>
  <c r="AR42" s="1"/>
  <c r="AP3"/>
  <c r="AQ22"/>
  <c r="AR22" s="1"/>
  <c r="AO43"/>
  <c r="AQ39"/>
  <c r="AR39" s="1"/>
  <c r="AT39" s="1"/>
  <c r="AQ35"/>
  <c r="AR35" s="1"/>
  <c r="AT35" s="1"/>
  <c r="AQ31"/>
  <c r="AR31" s="1"/>
  <c r="AT31" s="1"/>
  <c r="AQ27"/>
  <c r="AR27" s="1"/>
  <c r="AT27" s="1"/>
  <c r="AQ23"/>
  <c r="AR23" s="1"/>
  <c r="AT23" s="1"/>
  <c r="AQ19"/>
  <c r="AR19" s="1"/>
  <c r="AT19" s="1"/>
  <c r="AQ17"/>
  <c r="AR17" s="1"/>
  <c r="AT17" s="1"/>
  <c r="AQ3"/>
  <c r="AI18"/>
  <c r="AJ18"/>
  <c r="AM18"/>
  <c r="AI17"/>
  <c r="AJ17"/>
  <c r="AM17"/>
  <c r="AI19"/>
  <c r="AJ19"/>
  <c r="AM19"/>
  <c r="AI20"/>
  <c r="AJ20"/>
  <c r="AM20"/>
  <c r="AI21"/>
  <c r="AJ21"/>
  <c r="AM21"/>
  <c r="AI22"/>
  <c r="AJ22"/>
  <c r="AM22"/>
  <c r="AI23"/>
  <c r="AJ23"/>
  <c r="AM23"/>
  <c r="AB18"/>
  <c r="AC18" s="1"/>
  <c r="AD18" s="1"/>
  <c r="AE18"/>
  <c r="AB17"/>
  <c r="AC17" s="1"/>
  <c r="AD17" s="1"/>
  <c r="AE17"/>
  <c r="AB19"/>
  <c r="AC19" s="1"/>
  <c r="AD19" s="1"/>
  <c r="AE19"/>
  <c r="AB20"/>
  <c r="AC20" s="1"/>
  <c r="AD20" s="1"/>
  <c r="AE20"/>
  <c r="AB21"/>
  <c r="AC21" s="1"/>
  <c r="AD21" s="1"/>
  <c r="AE21"/>
  <c r="AB22"/>
  <c r="AC22" s="1"/>
  <c r="AD22" s="1"/>
  <c r="AE22"/>
  <c r="AB23"/>
  <c r="AC23" s="1"/>
  <c r="AD23" s="1"/>
  <c r="AE23"/>
  <c r="V18"/>
  <c r="W18" s="1"/>
  <c r="X18" s="1"/>
  <c r="Y18"/>
  <c r="V17"/>
  <c r="W17" s="1"/>
  <c r="X17" s="1"/>
  <c r="Y17"/>
  <c r="V19"/>
  <c r="W19" s="1"/>
  <c r="X19" s="1"/>
  <c r="Y19"/>
  <c r="V20"/>
  <c r="W20" s="1"/>
  <c r="X20" s="1"/>
  <c r="Y20"/>
  <c r="V21"/>
  <c r="W21" s="1"/>
  <c r="X21" s="1"/>
  <c r="Z21" s="1"/>
  <c r="Y21"/>
  <c r="V22"/>
  <c r="W22" s="1"/>
  <c r="X22" s="1"/>
  <c r="Y22"/>
  <c r="V23"/>
  <c r="W23" s="1"/>
  <c r="X23" s="1"/>
  <c r="Y23"/>
  <c r="V24"/>
  <c r="W24" s="1"/>
  <c r="X24" s="1"/>
  <c r="Y24"/>
  <c r="V25"/>
  <c r="W25" s="1"/>
  <c r="X25" s="1"/>
  <c r="Z25" s="1"/>
  <c r="Y25"/>
  <c r="V26"/>
  <c r="W26" s="1"/>
  <c r="X26" s="1"/>
  <c r="Y26"/>
  <c r="V27"/>
  <c r="W27" s="1"/>
  <c r="X27" s="1"/>
  <c r="Y27"/>
  <c r="V28"/>
  <c r="W28" s="1"/>
  <c r="X28" s="1"/>
  <c r="Y28"/>
  <c r="V29"/>
  <c r="W29" s="1"/>
  <c r="X29" s="1"/>
  <c r="Z29" s="1"/>
  <c r="Y29"/>
  <c r="V30"/>
  <c r="W30" s="1"/>
  <c r="X30" s="1"/>
  <c r="Y30"/>
  <c r="V31"/>
  <c r="W31" s="1"/>
  <c r="X31" s="1"/>
  <c r="Y31"/>
  <c r="V32"/>
  <c r="W32" s="1"/>
  <c r="X32" s="1"/>
  <c r="Y32"/>
  <c r="V33"/>
  <c r="W33" s="1"/>
  <c r="X33" s="1"/>
  <c r="Z33" s="1"/>
  <c r="Y33"/>
  <c r="V34"/>
  <c r="W34" s="1"/>
  <c r="X34" s="1"/>
  <c r="Z34" s="1"/>
  <c r="Y34"/>
  <c r="V35"/>
  <c r="W35" s="1"/>
  <c r="X35" s="1"/>
  <c r="Y35"/>
  <c r="V36"/>
  <c r="W36" s="1"/>
  <c r="X36" s="1"/>
  <c r="Y36"/>
  <c r="V37"/>
  <c r="W37" s="1"/>
  <c r="X37" s="1"/>
  <c r="Z37" s="1"/>
  <c r="Y37"/>
  <c r="V38"/>
  <c r="W38" s="1"/>
  <c r="X38" s="1"/>
  <c r="Y38"/>
  <c r="V39"/>
  <c r="W39" s="1"/>
  <c r="X39" s="1"/>
  <c r="Y39"/>
  <c r="V40"/>
  <c r="W40" s="1"/>
  <c r="X40" s="1"/>
  <c r="Y40"/>
  <c r="V41"/>
  <c r="W41" s="1"/>
  <c r="X41" s="1"/>
  <c r="Y41"/>
  <c r="P18"/>
  <c r="Q18" s="1"/>
  <c r="R18" s="1"/>
  <c r="S18"/>
  <c r="P17"/>
  <c r="Q17" s="1"/>
  <c r="R17" s="1"/>
  <c r="S17"/>
  <c r="P19"/>
  <c r="Q19" s="1"/>
  <c r="R19" s="1"/>
  <c r="S19"/>
  <c r="P20"/>
  <c r="Q20" s="1"/>
  <c r="R20" s="1"/>
  <c r="S20"/>
  <c r="P21"/>
  <c r="Q21" s="1"/>
  <c r="R21" s="1"/>
  <c r="S21"/>
  <c r="P22"/>
  <c r="Q22" s="1"/>
  <c r="R22" s="1"/>
  <c r="S22"/>
  <c r="P23"/>
  <c r="Q23" s="1"/>
  <c r="R23" s="1"/>
  <c r="S23"/>
  <c r="L18"/>
  <c r="M18"/>
  <c r="L17"/>
  <c r="M17"/>
  <c r="L19"/>
  <c r="M19"/>
  <c r="L20"/>
  <c r="M20"/>
  <c r="L21"/>
  <c r="M21"/>
  <c r="L22"/>
  <c r="M22"/>
  <c r="L23"/>
  <c r="M23"/>
  <c r="H17"/>
  <c r="H19"/>
  <c r="H20"/>
  <c r="H21"/>
  <c r="H22"/>
  <c r="H23"/>
  <c r="I18"/>
  <c r="I17"/>
  <c r="I19"/>
  <c r="I20"/>
  <c r="I21"/>
  <c r="I22"/>
  <c r="I23"/>
  <c r="J23" s="1"/>
  <c r="H18"/>
  <c r="Z23" l="1"/>
  <c r="J21"/>
  <c r="N22"/>
  <c r="AK18"/>
  <c r="AL18" s="1"/>
  <c r="AN18" s="1"/>
  <c r="N19"/>
  <c r="Z20"/>
  <c r="J19"/>
  <c r="Z39"/>
  <c r="Z26"/>
  <c r="AF23"/>
  <c r="N23"/>
  <c r="N17"/>
  <c r="T23"/>
  <c r="Z31"/>
  <c r="J22"/>
  <c r="T18"/>
  <c r="Z28"/>
  <c r="Z19"/>
  <c r="AK23"/>
  <c r="AL23" s="1"/>
  <c r="AN23" s="1"/>
  <c r="AK19"/>
  <c r="AL19" s="1"/>
  <c r="AN19" s="1"/>
  <c r="Z36"/>
  <c r="AF18"/>
  <c r="AK21"/>
  <c r="AL21" s="1"/>
  <c r="AN21" s="1"/>
  <c r="AK20"/>
  <c r="AL20" s="1"/>
  <c r="AN20" s="1"/>
  <c r="AK17"/>
  <c r="AL17" s="1"/>
  <c r="AN17" s="1"/>
  <c r="J17"/>
  <c r="N20"/>
  <c r="T19"/>
  <c r="Z35"/>
  <c r="Z27"/>
  <c r="Z22"/>
  <c r="Z17"/>
  <c r="AF19"/>
  <c r="N18"/>
  <c r="T22"/>
  <c r="T17"/>
  <c r="Z41"/>
  <c r="Z38"/>
  <c r="Z30"/>
  <c r="AF22"/>
  <c r="AF17"/>
  <c r="AK22"/>
  <c r="AL22" s="1"/>
  <c r="AN22" s="1"/>
  <c r="T21"/>
  <c r="Z40"/>
  <c r="Z32"/>
  <c r="Z24"/>
  <c r="Z18"/>
  <c r="AF21"/>
  <c r="N21"/>
  <c r="T20"/>
  <c r="AF20"/>
  <c r="AT29"/>
  <c r="AT25"/>
  <c r="AT41"/>
  <c r="AT22"/>
  <c r="AT42"/>
  <c r="AT38"/>
  <c r="AT34"/>
  <c r="AT30"/>
  <c r="AT26"/>
  <c r="AT15"/>
  <c r="AT11"/>
  <c r="AT7"/>
  <c r="AQ43"/>
  <c r="AR3"/>
  <c r="J18"/>
  <c r="J20"/>
  <c r="B53"/>
  <c r="AG43"/>
  <c r="AA43"/>
  <c r="U43"/>
  <c r="O43"/>
  <c r="K43"/>
  <c r="G43"/>
  <c r="D43"/>
  <c r="H10"/>
  <c r="I10"/>
  <c r="L10"/>
  <c r="M10"/>
  <c r="P10"/>
  <c r="Q10" s="1"/>
  <c r="R10" s="1"/>
  <c r="S10"/>
  <c r="V10"/>
  <c r="W10" s="1"/>
  <c r="X10" s="1"/>
  <c r="Y10"/>
  <c r="AB10"/>
  <c r="AC10" s="1"/>
  <c r="AD10" s="1"/>
  <c r="AE10"/>
  <c r="AI10"/>
  <c r="AJ10"/>
  <c r="AM10"/>
  <c r="B38" i="3"/>
  <c r="B37"/>
  <c r="B13"/>
  <c r="B12"/>
  <c r="AE4"/>
  <c r="AE6"/>
  <c r="AE7"/>
  <c r="AE3"/>
  <c r="AB4"/>
  <c r="AB6"/>
  <c r="AB7"/>
  <c r="AB3"/>
  <c r="V4"/>
  <c r="V6"/>
  <c r="V7"/>
  <c r="V3"/>
  <c r="S4"/>
  <c r="S6"/>
  <c r="S7"/>
  <c r="S3"/>
  <c r="AA6"/>
  <c r="AA4"/>
  <c r="AA3"/>
  <c r="R7"/>
  <c r="R6"/>
  <c r="R4"/>
  <c r="R3"/>
  <c r="J4"/>
  <c r="J6"/>
  <c r="J7"/>
  <c r="M4"/>
  <c r="M6"/>
  <c r="M7"/>
  <c r="AC6" l="1"/>
  <c r="AD6" s="1"/>
  <c r="AF6" s="1"/>
  <c r="AR43" i="1"/>
  <c r="C52" s="1"/>
  <c r="AT3"/>
  <c r="AT43" s="1"/>
  <c r="E52" s="1"/>
  <c r="AK10"/>
  <c r="AL10" s="1"/>
  <c r="AN10" s="1"/>
  <c r="Z10"/>
  <c r="N10"/>
  <c r="AF10"/>
  <c r="T10"/>
  <c r="J10"/>
  <c r="T6" i="3"/>
  <c r="U6" s="1"/>
  <c r="W6" s="1"/>
  <c r="AC4"/>
  <c r="AD4" s="1"/>
  <c r="AF4" s="1"/>
  <c r="T4"/>
  <c r="U4" s="1"/>
  <c r="W4" s="1"/>
  <c r="AC3"/>
  <c r="AD3" s="1"/>
  <c r="AF3" s="1"/>
  <c r="T7"/>
  <c r="U7" s="1"/>
  <c r="W7" s="1"/>
  <c r="T3"/>
  <c r="U3" s="1"/>
  <c r="W3" s="1"/>
  <c r="C13" i="19" l="1"/>
  <c r="H13" s="1"/>
  <c r="K13" s="1"/>
  <c r="E13"/>
  <c r="G69" l="1"/>
  <c r="G70"/>
  <c r="G71"/>
  <c r="G72"/>
  <c r="G73"/>
  <c r="G68"/>
  <c r="G67"/>
  <c r="G26"/>
  <c r="G11"/>
  <c r="G12"/>
  <c r="G14"/>
  <c r="G15"/>
  <c r="G10"/>
  <c r="G9"/>
  <c r="J73"/>
  <c r="J72"/>
  <c r="J71"/>
  <c r="J70"/>
  <c r="J69"/>
  <c r="J68"/>
  <c r="J67"/>
  <c r="B68"/>
  <c r="B69"/>
  <c r="B70"/>
  <c r="B71"/>
  <c r="B72"/>
  <c r="B73"/>
  <c r="B74"/>
  <c r="B67"/>
  <c r="B43" l="1"/>
  <c r="J55"/>
  <c r="J48"/>
  <c r="B56"/>
  <c r="B49"/>
  <c r="B48"/>
  <c r="J27"/>
  <c r="J26"/>
  <c r="J14"/>
  <c r="J15"/>
  <c r="J12"/>
  <c r="J11"/>
  <c r="J10"/>
  <c r="J9"/>
  <c r="B16"/>
  <c r="AH21" i="8" l="1"/>
  <c r="AC20"/>
  <c r="X19"/>
  <c r="S18"/>
  <c r="N17"/>
  <c r="I16"/>
  <c r="E15" l="1"/>
  <c r="E15" i="2" l="1"/>
  <c r="AI22"/>
  <c r="AD21"/>
  <c r="T19"/>
  <c r="C17"/>
  <c r="O18"/>
  <c r="L18"/>
  <c r="O17"/>
  <c r="L17"/>
  <c r="H23"/>
  <c r="C28" s="1"/>
  <c r="C27" i="19" l="1"/>
  <c r="C16" i="2"/>
  <c r="M18"/>
  <c r="N18" s="1"/>
  <c r="P18" s="1"/>
  <c r="K17"/>
  <c r="M17" s="1"/>
  <c r="N17" s="1"/>
  <c r="J16"/>
  <c r="J23" s="1"/>
  <c r="E28" s="1"/>
  <c r="E27" i="19" l="1"/>
  <c r="P17" i="2"/>
  <c r="P23" s="1"/>
  <c r="E29" s="1"/>
  <c r="E28" i="19" s="1"/>
  <c r="N23" i="2"/>
  <c r="C29" s="1"/>
  <c r="C28" i="19" s="1"/>
  <c r="H28" s="1"/>
  <c r="I3" i="3"/>
  <c r="K28" i="19" l="1"/>
  <c r="N28" s="1"/>
  <c r="M28"/>
  <c r="C7" i="2" l="1"/>
  <c r="C8"/>
  <c r="C5"/>
  <c r="C6"/>
  <c r="E4"/>
  <c r="E3"/>
  <c r="H27" i="19"/>
  <c r="A7" i="5"/>
  <c r="B11" i="3"/>
  <c r="B40" i="19" s="1"/>
  <c r="B55"/>
  <c r="E9" i="2" l="1"/>
  <c r="K27" i="19"/>
  <c r="C9" i="2"/>
  <c r="C19"/>
  <c r="C22"/>
  <c r="AG22" s="1"/>
  <c r="AH22" s="1"/>
  <c r="C20"/>
  <c r="W20" s="1"/>
  <c r="X20" s="1"/>
  <c r="C21"/>
  <c r="AB21" s="1"/>
  <c r="AC21" s="1"/>
  <c r="D23"/>
  <c r="C27" s="1"/>
  <c r="F15"/>
  <c r="F23" s="1"/>
  <c r="E27" s="1"/>
  <c r="M27" i="19"/>
  <c r="B51" i="1"/>
  <c r="B12" i="19" s="1"/>
  <c r="B54" i="1"/>
  <c r="B15" i="19" s="1"/>
  <c r="B50" i="1"/>
  <c r="B11" i="19" s="1"/>
  <c r="B14"/>
  <c r="B49" i="1"/>
  <c r="B10" i="19" s="1"/>
  <c r="B48" i="1"/>
  <c r="B9" i="19" s="1"/>
  <c r="C26" l="1"/>
  <c r="E26"/>
  <c r="R19" i="2"/>
  <c r="S19" s="1"/>
  <c r="C23"/>
  <c r="AC23"/>
  <c r="C32" s="1"/>
  <c r="C31" i="19" s="1"/>
  <c r="H31" s="1"/>
  <c r="AE21" i="2"/>
  <c r="AE23" s="1"/>
  <c r="E32" s="1"/>
  <c r="E31" i="19" s="1"/>
  <c r="X23" i="2"/>
  <c r="C31" s="1"/>
  <c r="Z20"/>
  <c r="Z23" s="1"/>
  <c r="E31" s="1"/>
  <c r="AH23"/>
  <c r="C33" s="1"/>
  <c r="C32" i="19" s="1"/>
  <c r="H32" s="1"/>
  <c r="AJ22" i="2"/>
  <c r="AJ23" s="1"/>
  <c r="E33" s="1"/>
  <c r="E32" i="19" s="1"/>
  <c r="N27"/>
  <c r="H41" i="1"/>
  <c r="I41"/>
  <c r="H42"/>
  <c r="I42"/>
  <c r="L41"/>
  <c r="M41"/>
  <c r="L42"/>
  <c r="M42"/>
  <c r="P41"/>
  <c r="Q41" s="1"/>
  <c r="R41" s="1"/>
  <c r="S41"/>
  <c r="P42"/>
  <c r="Q42" s="1"/>
  <c r="R42" s="1"/>
  <c r="S42"/>
  <c r="V42"/>
  <c r="W42" s="1"/>
  <c r="X42" s="1"/>
  <c r="Y42"/>
  <c r="AB41"/>
  <c r="AC41" s="1"/>
  <c r="AD41" s="1"/>
  <c r="AE41"/>
  <c r="AB42"/>
  <c r="AC42" s="1"/>
  <c r="AD42" s="1"/>
  <c r="AE42"/>
  <c r="AJ29"/>
  <c r="AM29"/>
  <c r="AJ30"/>
  <c r="AM30"/>
  <c r="AJ31"/>
  <c r="AM31"/>
  <c r="AJ32"/>
  <c r="AM32"/>
  <c r="AJ33"/>
  <c r="AM33"/>
  <c r="AJ34"/>
  <c r="AM34"/>
  <c r="AJ35"/>
  <c r="AM35"/>
  <c r="AJ36"/>
  <c r="AM36"/>
  <c r="AJ37"/>
  <c r="AM37"/>
  <c r="AJ38"/>
  <c r="AM38"/>
  <c r="AJ39"/>
  <c r="AM39"/>
  <c r="AJ40"/>
  <c r="AM40"/>
  <c r="AJ41"/>
  <c r="AM41"/>
  <c r="AJ42"/>
  <c r="AM42"/>
  <c r="AJ11"/>
  <c r="AM11"/>
  <c r="AJ8"/>
  <c r="AM8"/>
  <c r="AJ12"/>
  <c r="AM12"/>
  <c r="AJ13"/>
  <c r="AM13"/>
  <c r="AJ14"/>
  <c r="AM14"/>
  <c r="AJ16"/>
  <c r="AM16"/>
  <c r="AJ4"/>
  <c r="AM4"/>
  <c r="AJ15"/>
  <c r="AM15"/>
  <c r="AJ9"/>
  <c r="AM9"/>
  <c r="AJ6"/>
  <c r="AM6"/>
  <c r="AJ7"/>
  <c r="AM7"/>
  <c r="AJ3"/>
  <c r="AM3"/>
  <c r="AJ5"/>
  <c r="AM5"/>
  <c r="AJ24"/>
  <c r="AM24"/>
  <c r="AJ25"/>
  <c r="AM25"/>
  <c r="AJ26"/>
  <c r="AM26"/>
  <c r="AJ27"/>
  <c r="AM27"/>
  <c r="AJ28"/>
  <c r="AM28"/>
  <c r="AI11"/>
  <c r="AI8"/>
  <c r="AI12"/>
  <c r="AI13"/>
  <c r="AI14"/>
  <c r="AI16"/>
  <c r="AI4"/>
  <c r="AI15"/>
  <c r="AI9"/>
  <c r="AI6"/>
  <c r="AI7"/>
  <c r="AI3"/>
  <c r="AI5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B11"/>
  <c r="AC11" s="1"/>
  <c r="AD11" s="1"/>
  <c r="AE11"/>
  <c r="AB8"/>
  <c r="AC8" s="1"/>
  <c r="AD8" s="1"/>
  <c r="AE8"/>
  <c r="AB12"/>
  <c r="AC12" s="1"/>
  <c r="AD12" s="1"/>
  <c r="AE12"/>
  <c r="AB13"/>
  <c r="AC13" s="1"/>
  <c r="AD13" s="1"/>
  <c r="AE13"/>
  <c r="AB14"/>
  <c r="AC14" s="1"/>
  <c r="AD14" s="1"/>
  <c r="AE14"/>
  <c r="AB16"/>
  <c r="AC16" s="1"/>
  <c r="AD16" s="1"/>
  <c r="AE16"/>
  <c r="AB4"/>
  <c r="AC4" s="1"/>
  <c r="AD4" s="1"/>
  <c r="AE4"/>
  <c r="AB15"/>
  <c r="AC15" s="1"/>
  <c r="AD15" s="1"/>
  <c r="AE15"/>
  <c r="AB9"/>
  <c r="AC9" s="1"/>
  <c r="AD9" s="1"/>
  <c r="AE9"/>
  <c r="AB6"/>
  <c r="AC6" s="1"/>
  <c r="AD6" s="1"/>
  <c r="AE6"/>
  <c r="AB7"/>
  <c r="AC7" s="1"/>
  <c r="AD7" s="1"/>
  <c r="AE7"/>
  <c r="AB3"/>
  <c r="AE3"/>
  <c r="AB5"/>
  <c r="AC5" s="1"/>
  <c r="AD5" s="1"/>
  <c r="AE5"/>
  <c r="AB24"/>
  <c r="AC24" s="1"/>
  <c r="AD24" s="1"/>
  <c r="AE24"/>
  <c r="AB25"/>
  <c r="AC25" s="1"/>
  <c r="AD25" s="1"/>
  <c r="AE25"/>
  <c r="AB26"/>
  <c r="AC26" s="1"/>
  <c r="AD26" s="1"/>
  <c r="AE26"/>
  <c r="AB27"/>
  <c r="AC27" s="1"/>
  <c r="AD27" s="1"/>
  <c r="AE27"/>
  <c r="AB28"/>
  <c r="AC28" s="1"/>
  <c r="AD28" s="1"/>
  <c r="AE28"/>
  <c r="AB29"/>
  <c r="AC29" s="1"/>
  <c r="AD29" s="1"/>
  <c r="AE29"/>
  <c r="AB30"/>
  <c r="AC30" s="1"/>
  <c r="AD30" s="1"/>
  <c r="AE30"/>
  <c r="AB31"/>
  <c r="AC31" s="1"/>
  <c r="AD31" s="1"/>
  <c r="AE31"/>
  <c r="AB32"/>
  <c r="AC32" s="1"/>
  <c r="AD32" s="1"/>
  <c r="AE32"/>
  <c r="AB33"/>
  <c r="AC33" s="1"/>
  <c r="AD33" s="1"/>
  <c r="AE33"/>
  <c r="AB34"/>
  <c r="AC34" s="1"/>
  <c r="AD34" s="1"/>
  <c r="AE34"/>
  <c r="AB35"/>
  <c r="AC35" s="1"/>
  <c r="AD35" s="1"/>
  <c r="AE35"/>
  <c r="AB36"/>
  <c r="AC36" s="1"/>
  <c r="AD36" s="1"/>
  <c r="AE36"/>
  <c r="AB37"/>
  <c r="AC37" s="1"/>
  <c r="AD37" s="1"/>
  <c r="AE37"/>
  <c r="AB38"/>
  <c r="AC38" s="1"/>
  <c r="AD38" s="1"/>
  <c r="AE38"/>
  <c r="AB39"/>
  <c r="AC39" s="1"/>
  <c r="AD39" s="1"/>
  <c r="AE39"/>
  <c r="AB40"/>
  <c r="AC40" s="1"/>
  <c r="AD40" s="1"/>
  <c r="AE40"/>
  <c r="Y11"/>
  <c r="Y8"/>
  <c r="Y12"/>
  <c r="Y13"/>
  <c r="Y14"/>
  <c r="Y16"/>
  <c r="Y4"/>
  <c r="Y15"/>
  <c r="Y9"/>
  <c r="Y6"/>
  <c r="Y7"/>
  <c r="Y3"/>
  <c r="Y5"/>
  <c r="V11"/>
  <c r="W11" s="1"/>
  <c r="X11" s="1"/>
  <c r="V8"/>
  <c r="W8" s="1"/>
  <c r="X8" s="1"/>
  <c r="V12"/>
  <c r="W12" s="1"/>
  <c r="X12" s="1"/>
  <c r="V13"/>
  <c r="W13" s="1"/>
  <c r="X13" s="1"/>
  <c r="V14"/>
  <c r="W14" s="1"/>
  <c r="X14" s="1"/>
  <c r="V16"/>
  <c r="W16" s="1"/>
  <c r="X16" s="1"/>
  <c r="V4"/>
  <c r="W4" s="1"/>
  <c r="X4" s="1"/>
  <c r="V15"/>
  <c r="W15" s="1"/>
  <c r="X15" s="1"/>
  <c r="V9"/>
  <c r="W9" s="1"/>
  <c r="X9" s="1"/>
  <c r="V6"/>
  <c r="W6" s="1"/>
  <c r="X6" s="1"/>
  <c r="V7"/>
  <c r="W7" s="1"/>
  <c r="X7" s="1"/>
  <c r="V3"/>
  <c r="V5"/>
  <c r="W5" s="1"/>
  <c r="X5" s="1"/>
  <c r="S11"/>
  <c r="S8"/>
  <c r="S12"/>
  <c r="S13"/>
  <c r="S14"/>
  <c r="S16"/>
  <c r="S4"/>
  <c r="S15"/>
  <c r="S9"/>
  <c r="S6"/>
  <c r="S7"/>
  <c r="S3"/>
  <c r="S5"/>
  <c r="S24"/>
  <c r="S25"/>
  <c r="S26"/>
  <c r="S27"/>
  <c r="S28"/>
  <c r="S29"/>
  <c r="S30"/>
  <c r="S31"/>
  <c r="S32"/>
  <c r="S33"/>
  <c r="S34"/>
  <c r="S35"/>
  <c r="S36"/>
  <c r="S37"/>
  <c r="S38"/>
  <c r="S39"/>
  <c r="S40"/>
  <c r="P11"/>
  <c r="Q11" s="1"/>
  <c r="R11" s="1"/>
  <c r="P8"/>
  <c r="Q8" s="1"/>
  <c r="R8" s="1"/>
  <c r="P12"/>
  <c r="Q12" s="1"/>
  <c r="R12" s="1"/>
  <c r="P13"/>
  <c r="Q13" s="1"/>
  <c r="R13" s="1"/>
  <c r="P14"/>
  <c r="Q14" s="1"/>
  <c r="R14" s="1"/>
  <c r="P16"/>
  <c r="Q16" s="1"/>
  <c r="R16" s="1"/>
  <c r="P4"/>
  <c r="Q4" s="1"/>
  <c r="R4" s="1"/>
  <c r="P15"/>
  <c r="Q15" s="1"/>
  <c r="R15" s="1"/>
  <c r="P9"/>
  <c r="Q9" s="1"/>
  <c r="R9" s="1"/>
  <c r="P6"/>
  <c r="Q6" s="1"/>
  <c r="R6" s="1"/>
  <c r="P7"/>
  <c r="Q7" s="1"/>
  <c r="R7" s="1"/>
  <c r="P3"/>
  <c r="P5"/>
  <c r="Q5" s="1"/>
  <c r="R5" s="1"/>
  <c r="P24"/>
  <c r="Q24" s="1"/>
  <c r="R24" s="1"/>
  <c r="T24" s="1"/>
  <c r="P25"/>
  <c r="Q25" s="1"/>
  <c r="R25" s="1"/>
  <c r="P26"/>
  <c r="Q26" s="1"/>
  <c r="R26" s="1"/>
  <c r="P27"/>
  <c r="Q27" s="1"/>
  <c r="R27" s="1"/>
  <c r="P28"/>
  <c r="Q28" s="1"/>
  <c r="R28" s="1"/>
  <c r="T28" s="1"/>
  <c r="P29"/>
  <c r="Q29" s="1"/>
  <c r="R29" s="1"/>
  <c r="P30"/>
  <c r="Q30" s="1"/>
  <c r="R30" s="1"/>
  <c r="P31"/>
  <c r="Q31" s="1"/>
  <c r="R31" s="1"/>
  <c r="P32"/>
  <c r="Q32" s="1"/>
  <c r="R32" s="1"/>
  <c r="T32" s="1"/>
  <c r="P33"/>
  <c r="Q33" s="1"/>
  <c r="R33" s="1"/>
  <c r="P34"/>
  <c r="Q34" s="1"/>
  <c r="R34" s="1"/>
  <c r="P35"/>
  <c r="Q35" s="1"/>
  <c r="R35" s="1"/>
  <c r="P36"/>
  <c r="Q36" s="1"/>
  <c r="R36" s="1"/>
  <c r="T36" s="1"/>
  <c r="P37"/>
  <c r="Q37" s="1"/>
  <c r="R37" s="1"/>
  <c r="P38"/>
  <c r="Q38" s="1"/>
  <c r="R38" s="1"/>
  <c r="P39"/>
  <c r="Q39" s="1"/>
  <c r="R39" s="1"/>
  <c r="P40"/>
  <c r="Q40" s="1"/>
  <c r="R40" s="1"/>
  <c r="T40" s="1"/>
  <c r="M11"/>
  <c r="M8"/>
  <c r="M12"/>
  <c r="M13"/>
  <c r="M14"/>
  <c r="M16"/>
  <c r="M4"/>
  <c r="M15"/>
  <c r="M9"/>
  <c r="M6"/>
  <c r="M7"/>
  <c r="M3"/>
  <c r="M5"/>
  <c r="M24"/>
  <c r="M25"/>
  <c r="M26"/>
  <c r="M27"/>
  <c r="M28"/>
  <c r="M29"/>
  <c r="M30"/>
  <c r="M31"/>
  <c r="M32"/>
  <c r="M33"/>
  <c r="M34"/>
  <c r="M35"/>
  <c r="M36"/>
  <c r="M37"/>
  <c r="M38"/>
  <c r="M39"/>
  <c r="M40"/>
  <c r="L11"/>
  <c r="L8"/>
  <c r="L12"/>
  <c r="L13"/>
  <c r="L14"/>
  <c r="L16"/>
  <c r="L4"/>
  <c r="L15"/>
  <c r="L9"/>
  <c r="L6"/>
  <c r="L7"/>
  <c r="L3"/>
  <c r="L5"/>
  <c r="L24"/>
  <c r="L25"/>
  <c r="L26"/>
  <c r="L27"/>
  <c r="L28"/>
  <c r="L29"/>
  <c r="L30"/>
  <c r="L31"/>
  <c r="L32"/>
  <c r="L33"/>
  <c r="L34"/>
  <c r="L35"/>
  <c r="L36"/>
  <c r="L37"/>
  <c r="L38"/>
  <c r="L39"/>
  <c r="L40"/>
  <c r="I11"/>
  <c r="I8"/>
  <c r="I12"/>
  <c r="I13"/>
  <c r="I14"/>
  <c r="I16"/>
  <c r="I4"/>
  <c r="I15"/>
  <c r="I9"/>
  <c r="I6"/>
  <c r="I7"/>
  <c r="I3"/>
  <c r="I5"/>
  <c r="I24"/>
  <c r="I25"/>
  <c r="I26"/>
  <c r="I27"/>
  <c r="I28"/>
  <c r="I29"/>
  <c r="I30"/>
  <c r="I31"/>
  <c r="I32"/>
  <c r="I33"/>
  <c r="I34"/>
  <c r="I35"/>
  <c r="I36"/>
  <c r="I37"/>
  <c r="I38"/>
  <c r="I39"/>
  <c r="I40"/>
  <c r="H11"/>
  <c r="H8"/>
  <c r="H13"/>
  <c r="H14"/>
  <c r="H16"/>
  <c r="H4"/>
  <c r="H15"/>
  <c r="H9"/>
  <c r="H6"/>
  <c r="H7"/>
  <c r="H3"/>
  <c r="H5"/>
  <c r="H24"/>
  <c r="H26"/>
  <c r="H27"/>
  <c r="H28"/>
  <c r="H29"/>
  <c r="H30"/>
  <c r="H31"/>
  <c r="H32"/>
  <c r="H33"/>
  <c r="H34"/>
  <c r="H35"/>
  <c r="H36"/>
  <c r="H37"/>
  <c r="H38"/>
  <c r="H39"/>
  <c r="H40"/>
  <c r="M32" i="19" l="1"/>
  <c r="K32"/>
  <c r="N32" s="1"/>
  <c r="K31"/>
  <c r="N31" s="1"/>
  <c r="M31"/>
  <c r="C30"/>
  <c r="H30" s="1"/>
  <c r="E30"/>
  <c r="H26"/>
  <c r="T7" i="1"/>
  <c r="T4"/>
  <c r="T12"/>
  <c r="Z5"/>
  <c r="Z9"/>
  <c r="Z14"/>
  <c r="Z11"/>
  <c r="S23" i="2"/>
  <c r="C30" s="1"/>
  <c r="U19"/>
  <c r="U23" s="1"/>
  <c r="E30" s="1"/>
  <c r="E29" i="19" s="1"/>
  <c r="N26" i="1"/>
  <c r="N27"/>
  <c r="T37"/>
  <c r="T33"/>
  <c r="T29"/>
  <c r="T25"/>
  <c r="T15"/>
  <c r="T13"/>
  <c r="Z6"/>
  <c r="Z16"/>
  <c r="Z8"/>
  <c r="L43"/>
  <c r="C49" s="1"/>
  <c r="W3"/>
  <c r="Q3"/>
  <c r="AC3"/>
  <c r="AI43"/>
  <c r="T38"/>
  <c r="T34"/>
  <c r="T30"/>
  <c r="T26"/>
  <c r="T5"/>
  <c r="Z7"/>
  <c r="Z4"/>
  <c r="Z12"/>
  <c r="T39"/>
  <c r="T35"/>
  <c r="T31"/>
  <c r="T27"/>
  <c r="T6"/>
  <c r="T16"/>
  <c r="T8"/>
  <c r="Z15"/>
  <c r="Z13"/>
  <c r="N25"/>
  <c r="N24"/>
  <c r="T9"/>
  <c r="T14"/>
  <c r="T11"/>
  <c r="T42"/>
  <c r="AK41"/>
  <c r="AL41" s="1"/>
  <c r="AN41" s="1"/>
  <c r="AK37"/>
  <c r="AL37" s="1"/>
  <c r="AN37" s="1"/>
  <c r="AK33"/>
  <c r="AL33" s="1"/>
  <c r="AN33" s="1"/>
  <c r="AK27"/>
  <c r="AL27" s="1"/>
  <c r="AN27" s="1"/>
  <c r="AK6"/>
  <c r="AL6" s="1"/>
  <c r="AN6" s="1"/>
  <c r="AK16"/>
  <c r="AL16" s="1"/>
  <c r="AN16" s="1"/>
  <c r="AK8"/>
  <c r="AL8" s="1"/>
  <c r="AN8" s="1"/>
  <c r="AF16"/>
  <c r="AF13"/>
  <c r="Z42"/>
  <c r="AF30"/>
  <c r="AF26"/>
  <c r="AF7"/>
  <c r="AF4"/>
  <c r="AF28"/>
  <c r="AF24"/>
  <c r="AF9"/>
  <c r="AF41"/>
  <c r="AF40"/>
  <c r="AK28"/>
  <c r="AL28" s="1"/>
  <c r="AN28" s="1"/>
  <c r="AK24"/>
  <c r="AL24" s="1"/>
  <c r="AN24" s="1"/>
  <c r="AK7"/>
  <c r="AL7" s="1"/>
  <c r="AN7" s="1"/>
  <c r="AK4"/>
  <c r="AL4" s="1"/>
  <c r="AN4" s="1"/>
  <c r="AK12"/>
  <c r="AL12" s="1"/>
  <c r="AN12" s="1"/>
  <c r="T41"/>
  <c r="AF39"/>
  <c r="AF31"/>
  <c r="AF38"/>
  <c r="AK39"/>
  <c r="AL39" s="1"/>
  <c r="AN39" s="1"/>
  <c r="AK35"/>
  <c r="AL35" s="1"/>
  <c r="AN35" s="1"/>
  <c r="AK31"/>
  <c r="AL31" s="1"/>
  <c r="AN31" s="1"/>
  <c r="AF42"/>
  <c r="N30"/>
  <c r="N37"/>
  <c r="N33"/>
  <c r="N29"/>
  <c r="N3"/>
  <c r="N15"/>
  <c r="N13"/>
  <c r="AF27"/>
  <c r="AF25"/>
  <c r="AK3"/>
  <c r="AK15"/>
  <c r="AL15" s="1"/>
  <c r="AN15" s="1"/>
  <c r="N41"/>
  <c r="N34"/>
  <c r="N5"/>
  <c r="N14"/>
  <c r="N11"/>
  <c r="N40"/>
  <c r="N36"/>
  <c r="N32"/>
  <c r="N28"/>
  <c r="N7"/>
  <c r="N4"/>
  <c r="N12"/>
  <c r="AF32"/>
  <c r="AF6"/>
  <c r="AF15"/>
  <c r="AK29"/>
  <c r="AL29" s="1"/>
  <c r="AN29" s="1"/>
  <c r="N38"/>
  <c r="N9"/>
  <c r="N39"/>
  <c r="N35"/>
  <c r="N31"/>
  <c r="N6"/>
  <c r="N16"/>
  <c r="N8"/>
  <c r="AK9"/>
  <c r="AL9" s="1"/>
  <c r="AN9" s="1"/>
  <c r="N42"/>
  <c r="J42"/>
  <c r="J41"/>
  <c r="AK42"/>
  <c r="AL42" s="1"/>
  <c r="AN42" s="1"/>
  <c r="AK40"/>
  <c r="AL40" s="1"/>
  <c r="AN40" s="1"/>
  <c r="AK38"/>
  <c r="AL38" s="1"/>
  <c r="AN38" s="1"/>
  <c r="AK36"/>
  <c r="AL36" s="1"/>
  <c r="AN36" s="1"/>
  <c r="AK34"/>
  <c r="AL34" s="1"/>
  <c r="AN34" s="1"/>
  <c r="AK32"/>
  <c r="AL32" s="1"/>
  <c r="AN32" s="1"/>
  <c r="AK30"/>
  <c r="AL30" s="1"/>
  <c r="AN30" s="1"/>
  <c r="AK26"/>
  <c r="AL26" s="1"/>
  <c r="AN26" s="1"/>
  <c r="AK25"/>
  <c r="AL25" s="1"/>
  <c r="AN25" s="1"/>
  <c r="AK5"/>
  <c r="AL5" s="1"/>
  <c r="AN5" s="1"/>
  <c r="AK14"/>
  <c r="AL14" s="1"/>
  <c r="AN14" s="1"/>
  <c r="AK13"/>
  <c r="AL13" s="1"/>
  <c r="AN13" s="1"/>
  <c r="AK11"/>
  <c r="AL11" s="1"/>
  <c r="AN11" s="1"/>
  <c r="AF36"/>
  <c r="AF34"/>
  <c r="AF35"/>
  <c r="AF33"/>
  <c r="AF12"/>
  <c r="AF37"/>
  <c r="AF14"/>
  <c r="AF29"/>
  <c r="AF5"/>
  <c r="AF8"/>
  <c r="AF11"/>
  <c r="J37"/>
  <c r="J33"/>
  <c r="J29"/>
  <c r="J3"/>
  <c r="J15"/>
  <c r="J11"/>
  <c r="J40"/>
  <c r="J36"/>
  <c r="J32"/>
  <c r="J28"/>
  <c r="J24"/>
  <c r="J7"/>
  <c r="J4"/>
  <c r="J13"/>
  <c r="J39"/>
  <c r="J35"/>
  <c r="J31"/>
  <c r="J27"/>
  <c r="J6"/>
  <c r="J16"/>
  <c r="J38"/>
  <c r="J34"/>
  <c r="J30"/>
  <c r="J26"/>
  <c r="J5"/>
  <c r="J9"/>
  <c r="J14"/>
  <c r="J8"/>
  <c r="E33" i="19" l="1"/>
  <c r="F26" s="1"/>
  <c r="M30"/>
  <c r="K30"/>
  <c r="C29"/>
  <c r="C34" i="2"/>
  <c r="M26" i="19"/>
  <c r="K26"/>
  <c r="E34" i="2"/>
  <c r="F30" s="1"/>
  <c r="AD3" i="1"/>
  <c r="AC43"/>
  <c r="AL3"/>
  <c r="AK43"/>
  <c r="R3"/>
  <c r="Q43"/>
  <c r="X3"/>
  <c r="W43"/>
  <c r="N43"/>
  <c r="E49" s="1"/>
  <c r="C10" i="19"/>
  <c r="F31" l="1"/>
  <c r="F27"/>
  <c r="F30"/>
  <c r="F28"/>
  <c r="F29"/>
  <c r="F32"/>
  <c r="E82"/>
  <c r="C4" i="15"/>
  <c r="D32" i="2"/>
  <c r="D30"/>
  <c r="D33"/>
  <c r="D31"/>
  <c r="D27"/>
  <c r="D28"/>
  <c r="D34"/>
  <c r="D29"/>
  <c r="H29" i="19"/>
  <c r="C33"/>
  <c r="N26"/>
  <c r="H10"/>
  <c r="K10" s="1"/>
  <c r="F31" i="2"/>
  <c r="F29"/>
  <c r="F33"/>
  <c r="F27"/>
  <c r="F34"/>
  <c r="E4" i="15"/>
  <c r="F32" i="2"/>
  <c r="F28"/>
  <c r="X43" i="1"/>
  <c r="C50" s="1"/>
  <c r="Z3"/>
  <c r="Z43" s="1"/>
  <c r="E50" s="1"/>
  <c r="AN3"/>
  <c r="AN43" s="1"/>
  <c r="E51" s="1"/>
  <c r="AL43"/>
  <c r="C51" s="1"/>
  <c r="T3"/>
  <c r="T43" s="1"/>
  <c r="E53" s="1"/>
  <c r="R43"/>
  <c r="C53" s="1"/>
  <c r="AD43"/>
  <c r="C54" s="1"/>
  <c r="AF3"/>
  <c r="AF43" s="1"/>
  <c r="E54" s="1"/>
  <c r="E10" i="19"/>
  <c r="M10" l="1"/>
  <c r="F33"/>
  <c r="M29"/>
  <c r="K29"/>
  <c r="H33"/>
  <c r="D26"/>
  <c r="C82"/>
  <c r="D27"/>
  <c r="D28"/>
  <c r="D32"/>
  <c r="D31"/>
  <c r="D30"/>
  <c r="D29"/>
  <c r="E15"/>
  <c r="C12"/>
  <c r="H12" s="1"/>
  <c r="M12" s="1"/>
  <c r="E12"/>
  <c r="E11"/>
  <c r="C15"/>
  <c r="C14"/>
  <c r="E14"/>
  <c r="C11"/>
  <c r="N10"/>
  <c r="D33" l="1"/>
  <c r="I30"/>
  <c r="M33"/>
  <c r="I26"/>
  <c r="I32"/>
  <c r="I29"/>
  <c r="G82"/>
  <c r="K82" s="1"/>
  <c r="I31"/>
  <c r="I28"/>
  <c r="I27"/>
  <c r="N29"/>
  <c r="K33"/>
  <c r="K12"/>
  <c r="H14"/>
  <c r="H15"/>
  <c r="K15" s="1"/>
  <c r="H11"/>
  <c r="M11" s="1"/>
  <c r="K11" l="1"/>
  <c r="N11" s="1"/>
  <c r="L26"/>
  <c r="L27"/>
  <c r="L30"/>
  <c r="L32"/>
  <c r="L31"/>
  <c r="N33"/>
  <c r="L29"/>
  <c r="I82"/>
  <c r="L82" s="1"/>
  <c r="L28"/>
  <c r="I33"/>
  <c r="N12"/>
  <c r="K14"/>
  <c r="G3" i="5"/>
  <c r="C3"/>
  <c r="E3" s="1"/>
  <c r="F3" s="1"/>
  <c r="B7" s="1"/>
  <c r="H12" i="1"/>
  <c r="H25"/>
  <c r="J25" s="1"/>
  <c r="L33" i="19" l="1"/>
  <c r="H43" i="1"/>
  <c r="C48" s="1"/>
  <c r="C48" i="19"/>
  <c r="H48" s="1"/>
  <c r="C7" i="5"/>
  <c r="D48" i="19" s="1"/>
  <c r="B8" i="5"/>
  <c r="C16" i="8"/>
  <c r="G16"/>
  <c r="H16" s="1"/>
  <c r="H22" s="1"/>
  <c r="J12" i="1"/>
  <c r="H3" i="5"/>
  <c r="D7" s="1"/>
  <c r="F4" i="6" l="1"/>
  <c r="E55" i="19"/>
  <c r="C55"/>
  <c r="H55" s="1"/>
  <c r="C4" i="6"/>
  <c r="D3" s="1"/>
  <c r="D55" i="19" s="1"/>
  <c r="J43" i="1"/>
  <c r="E48" s="1"/>
  <c r="M48" i="19"/>
  <c r="K48"/>
  <c r="H49"/>
  <c r="E48"/>
  <c r="D8" i="5"/>
  <c r="E6" i="15" s="1"/>
  <c r="C49" i="19"/>
  <c r="C84" s="1"/>
  <c r="C8" i="5"/>
  <c r="D49" i="19" s="1"/>
  <c r="C28" i="8"/>
  <c r="C29" i="15" s="1"/>
  <c r="J16" i="8"/>
  <c r="C9" i="19"/>
  <c r="C55" i="1"/>
  <c r="E68" i="3"/>
  <c r="E69"/>
  <c r="E70"/>
  <c r="E71"/>
  <c r="E72"/>
  <c r="E73"/>
  <c r="E74"/>
  <c r="E75"/>
  <c r="E76"/>
  <c r="E77"/>
  <c r="E78"/>
  <c r="E79"/>
  <c r="E80"/>
  <c r="E81"/>
  <c r="E67"/>
  <c r="G4"/>
  <c r="I6"/>
  <c r="K6" s="1"/>
  <c r="L6" s="1"/>
  <c r="C40" s="1"/>
  <c r="M3"/>
  <c r="J3"/>
  <c r="I48" i="19" l="1"/>
  <c r="I49" s="1"/>
  <c r="G84"/>
  <c r="H9"/>
  <c r="H16" s="1"/>
  <c r="C16"/>
  <c r="C81" s="1"/>
  <c r="J22" i="8"/>
  <c r="E28" s="1"/>
  <c r="D52" i="1"/>
  <c r="D13" i="19" s="1"/>
  <c r="C3" i="15"/>
  <c r="G3" i="6"/>
  <c r="F55" i="19" s="1"/>
  <c r="E7" i="15"/>
  <c r="I4" i="3"/>
  <c r="K4" s="1"/>
  <c r="L4" s="1"/>
  <c r="G7"/>
  <c r="I7" s="1"/>
  <c r="K7" s="1"/>
  <c r="L7" s="1"/>
  <c r="N7" s="1"/>
  <c r="N6"/>
  <c r="E40" s="1"/>
  <c r="M55" i="19"/>
  <c r="K55"/>
  <c r="H56"/>
  <c r="I55" s="1"/>
  <c r="I56" s="1"/>
  <c r="D4" i="6"/>
  <c r="D56" i="19" s="1"/>
  <c r="C56"/>
  <c r="C85" s="1"/>
  <c r="G4" i="6"/>
  <c r="F56" i="19" s="1"/>
  <c r="E56"/>
  <c r="E85" s="1"/>
  <c r="D53" i="1"/>
  <c r="D14" i="19" s="1"/>
  <c r="E55" i="1"/>
  <c r="E9" i="19"/>
  <c r="E82" i="3"/>
  <c r="E49" i="19"/>
  <c r="E84" s="1"/>
  <c r="E8" i="5"/>
  <c r="F49" i="19" s="1"/>
  <c r="M49"/>
  <c r="E7" i="5"/>
  <c r="F48" i="19" s="1"/>
  <c r="K49"/>
  <c r="N48"/>
  <c r="C17" i="8"/>
  <c r="L17" s="1"/>
  <c r="M17" s="1"/>
  <c r="M22" s="1"/>
  <c r="C68" i="19"/>
  <c r="D48" i="1"/>
  <c r="D54"/>
  <c r="D15" i="19" s="1"/>
  <c r="D49" i="1"/>
  <c r="D10" i="19" s="1"/>
  <c r="D50" i="1"/>
  <c r="D11" i="19" s="1"/>
  <c r="D51" i="1"/>
  <c r="D12" i="19" s="1"/>
  <c r="K3" i="3"/>
  <c r="L3" s="1"/>
  <c r="L48" i="19" l="1"/>
  <c r="L49" s="1"/>
  <c r="I84"/>
  <c r="K9"/>
  <c r="M9"/>
  <c r="E68"/>
  <c r="E111" s="1"/>
  <c r="E29" i="15"/>
  <c r="E16" i="19"/>
  <c r="E81" s="1"/>
  <c r="H68"/>
  <c r="G111" s="1"/>
  <c r="C111"/>
  <c r="G81"/>
  <c r="K81" s="1"/>
  <c r="I13"/>
  <c r="C38" i="3"/>
  <c r="N4"/>
  <c r="E38" s="1"/>
  <c r="F49" i="1"/>
  <c r="F10" i="19" s="1"/>
  <c r="E3" i="15"/>
  <c r="C37" i="3"/>
  <c r="F48" i="1"/>
  <c r="F52"/>
  <c r="F13" i="19" s="1"/>
  <c r="F50" i="1"/>
  <c r="F11" i="19" s="1"/>
  <c r="D9"/>
  <c r="D55" i="1"/>
  <c r="D16" i="19" s="1"/>
  <c r="M56"/>
  <c r="G85"/>
  <c r="K85" s="1"/>
  <c r="K56"/>
  <c r="L55" s="1"/>
  <c r="L56" s="1"/>
  <c r="N55"/>
  <c r="F54" i="1"/>
  <c r="F15" i="19" s="1"/>
  <c r="F51" i="1"/>
  <c r="F12" i="19" s="1"/>
  <c r="F53" i="1"/>
  <c r="F14" i="19" s="1"/>
  <c r="G8" i="3"/>
  <c r="N49" i="19"/>
  <c r="C9" i="8"/>
  <c r="E3" s="1"/>
  <c r="K68" i="19"/>
  <c r="I111" s="1"/>
  <c r="M68"/>
  <c r="M16"/>
  <c r="I11"/>
  <c r="I16"/>
  <c r="I10"/>
  <c r="I12"/>
  <c r="I15"/>
  <c r="I14"/>
  <c r="C29" i="8"/>
  <c r="C31" i="15" s="1"/>
  <c r="O17" i="8"/>
  <c r="N9" i="19"/>
  <c r="K16"/>
  <c r="I9"/>
  <c r="N3" i="3"/>
  <c r="L9" i="19" l="1"/>
  <c r="L13"/>
  <c r="O22" i="8"/>
  <c r="E29" s="1"/>
  <c r="E37" i="3"/>
  <c r="F9" i="19"/>
  <c r="F55" i="1"/>
  <c r="F16" i="19" s="1"/>
  <c r="N56"/>
  <c r="I85"/>
  <c r="L85" s="1"/>
  <c r="I8" i="3"/>
  <c r="K111" i="19"/>
  <c r="N68"/>
  <c r="L111"/>
  <c r="I81"/>
  <c r="L81" s="1"/>
  <c r="L16"/>
  <c r="L14"/>
  <c r="L10"/>
  <c r="L12"/>
  <c r="L15"/>
  <c r="L11"/>
  <c r="N16"/>
  <c r="C69"/>
  <c r="E69" l="1"/>
  <c r="E113" s="1"/>
  <c r="E31" i="15"/>
  <c r="H69" i="19"/>
  <c r="G113" s="1"/>
  <c r="C113"/>
  <c r="J123" i="3"/>
  <c r="Y7" s="1"/>
  <c r="AA7" s="1"/>
  <c r="AC7" s="1"/>
  <c r="AD7" s="1"/>
  <c r="L8"/>
  <c r="C11" s="1"/>
  <c r="C35" i="15" s="1"/>
  <c r="C21" i="8"/>
  <c r="AF21" s="1"/>
  <c r="AG21" s="1"/>
  <c r="C20"/>
  <c r="AA20" s="1"/>
  <c r="AB20" s="1"/>
  <c r="AB22" s="1"/>
  <c r="C18"/>
  <c r="C19"/>
  <c r="V19" s="1"/>
  <c r="W19" s="1"/>
  <c r="W22" s="1"/>
  <c r="K69" i="19" l="1"/>
  <c r="I113" s="1"/>
  <c r="L113" s="1"/>
  <c r="K113"/>
  <c r="M69"/>
  <c r="AF7" i="3"/>
  <c r="E41" s="1"/>
  <c r="C41"/>
  <c r="C42" s="1"/>
  <c r="D40" s="1"/>
  <c r="P8"/>
  <c r="C40" i="19"/>
  <c r="N8" i="3"/>
  <c r="E11" s="1"/>
  <c r="E35" i="15" s="1"/>
  <c r="Q18" i="8"/>
  <c r="R18" s="1"/>
  <c r="R22" s="1"/>
  <c r="AG22"/>
  <c r="C33" s="1"/>
  <c r="C32" i="15" s="1"/>
  <c r="AI21" i="8"/>
  <c r="AI22" s="1"/>
  <c r="E33" s="1"/>
  <c r="E32" i="15" s="1"/>
  <c r="C31" i="8"/>
  <c r="C34" i="15" s="1"/>
  <c r="Y19" i="8"/>
  <c r="C32"/>
  <c r="C33" i="15" s="1"/>
  <c r="AD20" i="8"/>
  <c r="C22"/>
  <c r="N69" i="19" l="1"/>
  <c r="H40"/>
  <c r="K40" s="1"/>
  <c r="I117" s="1"/>
  <c r="C117"/>
  <c r="AD22" i="8"/>
  <c r="E32" s="1"/>
  <c r="Y22"/>
  <c r="E31" s="1"/>
  <c r="D37" i="3"/>
  <c r="D41"/>
  <c r="D42"/>
  <c r="D38"/>
  <c r="D39"/>
  <c r="R8"/>
  <c r="E40" i="19"/>
  <c r="E117" s="1"/>
  <c r="E42" i="3"/>
  <c r="C72" i="19"/>
  <c r="C73"/>
  <c r="C71"/>
  <c r="E73"/>
  <c r="E114" s="1"/>
  <c r="T18" i="8"/>
  <c r="C30"/>
  <c r="E9"/>
  <c r="E72" i="19" l="1"/>
  <c r="E115" s="1"/>
  <c r="E33" i="15"/>
  <c r="E71" i="19"/>
  <c r="E116" s="1"/>
  <c r="E34" i="15"/>
  <c r="C70" i="19"/>
  <c r="H70" s="1"/>
  <c r="G112" s="1"/>
  <c r="C30" i="15"/>
  <c r="H73" i="19"/>
  <c r="G114" s="1"/>
  <c r="C114"/>
  <c r="H72"/>
  <c r="G115" s="1"/>
  <c r="C115"/>
  <c r="H71"/>
  <c r="G116" s="1"/>
  <c r="C116"/>
  <c r="M40"/>
  <c r="G117"/>
  <c r="K117" s="1"/>
  <c r="N40"/>
  <c r="T22" i="8"/>
  <c r="E30" s="1"/>
  <c r="F40" i="3"/>
  <c r="F41"/>
  <c r="U8"/>
  <c r="C12" s="1"/>
  <c r="F38"/>
  <c r="F42"/>
  <c r="F37"/>
  <c r="F39"/>
  <c r="K71" i="19"/>
  <c r="I116" s="1"/>
  <c r="C41" l="1"/>
  <c r="C36" i="15"/>
  <c r="M73" i="19"/>
  <c r="C112"/>
  <c r="K112" s="1"/>
  <c r="E70"/>
  <c r="E112" s="1"/>
  <c r="E30" i="15"/>
  <c r="K70" i="19"/>
  <c r="I112" s="1"/>
  <c r="M72"/>
  <c r="K72"/>
  <c r="I115" s="1"/>
  <c r="K73"/>
  <c r="I114" s="1"/>
  <c r="M70"/>
  <c r="K115"/>
  <c r="M71"/>
  <c r="W8" i="3"/>
  <c r="E12" s="1"/>
  <c r="L117" i="19"/>
  <c r="K114"/>
  <c r="K116"/>
  <c r="E36" i="15" l="1"/>
  <c r="E41" i="19"/>
  <c r="E118" s="1"/>
  <c r="C118"/>
  <c r="H41"/>
  <c r="N72"/>
  <c r="N70"/>
  <c r="N73"/>
  <c r="L114"/>
  <c r="Y8" i="3"/>
  <c r="L115" i="19"/>
  <c r="L112"/>
  <c r="K41" l="1"/>
  <c r="M41"/>
  <c r="G118"/>
  <c r="K118" s="1"/>
  <c r="AA8" i="3"/>
  <c r="I118" i="19" l="1"/>
  <c r="L118" s="1"/>
  <c r="N41"/>
  <c r="AF8" i="3"/>
  <c r="E13" s="1"/>
  <c r="AD8"/>
  <c r="C13" s="1"/>
  <c r="C42" i="19" l="1"/>
  <c r="C37" i="15"/>
  <c r="E37"/>
  <c r="E42" i="19"/>
  <c r="E119" s="1"/>
  <c r="D22" i="8"/>
  <c r="C14" i="3"/>
  <c r="E14"/>
  <c r="C119" i="19" l="1"/>
  <c r="H42"/>
  <c r="F13" i="3"/>
  <c r="F42" i="19" s="1"/>
  <c r="E5" i="15"/>
  <c r="D13" i="3"/>
  <c r="D42" i="19" s="1"/>
  <c r="C5" i="15"/>
  <c r="H43" i="19"/>
  <c r="G83" s="1"/>
  <c r="F11" i="3"/>
  <c r="E43" i="19"/>
  <c r="E83" s="1"/>
  <c r="F12" i="3"/>
  <c r="F41" i="19" s="1"/>
  <c r="C43"/>
  <c r="C83" s="1"/>
  <c r="D11" i="3"/>
  <c r="D12"/>
  <c r="D41" i="19" s="1"/>
  <c r="F15" i="8"/>
  <c r="C27"/>
  <c r="K42" i="19" l="1"/>
  <c r="M42"/>
  <c r="G119"/>
  <c r="K119" s="1"/>
  <c r="C28" i="15"/>
  <c r="C38" s="1"/>
  <c r="K83" i="19"/>
  <c r="M43"/>
  <c r="I42"/>
  <c r="I41"/>
  <c r="F22" i="8"/>
  <c r="E27" s="1"/>
  <c r="E28" i="15" s="1"/>
  <c r="E38" s="1"/>
  <c r="F36" s="1"/>
  <c r="C67" i="19"/>
  <c r="C34" i="8"/>
  <c r="D40" i="19"/>
  <c r="D14" i="3"/>
  <c r="D43" i="19" s="1"/>
  <c r="F40"/>
  <c r="F14" i="3"/>
  <c r="F43" i="19" s="1"/>
  <c r="I40"/>
  <c r="K43"/>
  <c r="I83" s="1"/>
  <c r="L83" s="1"/>
  <c r="I119" l="1"/>
  <c r="L119" s="1"/>
  <c r="N42"/>
  <c r="F32" i="15"/>
  <c r="F29"/>
  <c r="F33"/>
  <c r="F35"/>
  <c r="F34"/>
  <c r="F28"/>
  <c r="F31"/>
  <c r="F30"/>
  <c r="F37"/>
  <c r="D37"/>
  <c r="D36"/>
  <c r="D35"/>
  <c r="D29"/>
  <c r="D30"/>
  <c r="D31"/>
  <c r="D33"/>
  <c r="D34"/>
  <c r="D32"/>
  <c r="D28"/>
  <c r="H67" i="19"/>
  <c r="G110" s="1"/>
  <c r="G120" s="1"/>
  <c r="C110"/>
  <c r="I43"/>
  <c r="N43"/>
  <c r="L42"/>
  <c r="L41"/>
  <c r="E34" i="8"/>
  <c r="E8" i="15" s="1"/>
  <c r="E9" s="1"/>
  <c r="F7" s="1"/>
  <c r="E67" i="19"/>
  <c r="E110" s="1"/>
  <c r="D27" i="8"/>
  <c r="D67" i="19" s="1"/>
  <c r="C8" i="15"/>
  <c r="L40" i="19"/>
  <c r="D30" i="8"/>
  <c r="D70" i="19" s="1"/>
  <c r="D33" i="8"/>
  <c r="D73" i="19" s="1"/>
  <c r="D34" i="8"/>
  <c r="D74" i="19" s="1"/>
  <c r="D28" i="8"/>
  <c r="D68" i="19" s="1"/>
  <c r="C74"/>
  <c r="C86" s="1"/>
  <c r="D32" i="8"/>
  <c r="D72" i="19" s="1"/>
  <c r="D31" i="8"/>
  <c r="D71" i="19" s="1"/>
  <c r="D29" i="8"/>
  <c r="D69" i="19" s="1"/>
  <c r="K84"/>
  <c r="K67"/>
  <c r="I110" s="1"/>
  <c r="F38" i="15" l="1"/>
  <c r="D38"/>
  <c r="H74" i="19"/>
  <c r="I70" s="1"/>
  <c r="M67"/>
  <c r="E120"/>
  <c r="I120"/>
  <c r="C120"/>
  <c r="K120" s="1"/>
  <c r="C87"/>
  <c r="L43"/>
  <c r="C9" i="15"/>
  <c r="D7" s="1"/>
  <c r="F6"/>
  <c r="F3"/>
  <c r="F33" i="8"/>
  <c r="F73" i="19" s="1"/>
  <c r="F5" i="15"/>
  <c r="F32" i="8"/>
  <c r="F72" i="19" s="1"/>
  <c r="F34" i="8"/>
  <c r="F74" i="19" s="1"/>
  <c r="F4" i="15"/>
  <c r="F30" i="8"/>
  <c r="F70" i="19" s="1"/>
  <c r="E74"/>
  <c r="E86" s="1"/>
  <c r="F27" i="8"/>
  <c r="F67" i="19" s="1"/>
  <c r="F31" i="8"/>
  <c r="F71" i="19" s="1"/>
  <c r="F28" i="8"/>
  <c r="F68" i="19" s="1"/>
  <c r="F8" i="15"/>
  <c r="F29" i="8"/>
  <c r="F69" i="19" s="1"/>
  <c r="L84"/>
  <c r="H110"/>
  <c r="N67"/>
  <c r="K74"/>
  <c r="L67" s="1"/>
  <c r="K110"/>
  <c r="I68" l="1"/>
  <c r="I72"/>
  <c r="G86"/>
  <c r="I67"/>
  <c r="I73"/>
  <c r="I71"/>
  <c r="I69"/>
  <c r="M74"/>
  <c r="D3" i="15"/>
  <c r="D8"/>
  <c r="F9"/>
  <c r="D5"/>
  <c r="D4"/>
  <c r="L120" i="19"/>
  <c r="J114"/>
  <c r="J118"/>
  <c r="J116"/>
  <c r="J113"/>
  <c r="J117"/>
  <c r="J111"/>
  <c r="J115"/>
  <c r="J119"/>
  <c r="J112"/>
  <c r="J110"/>
  <c r="D118"/>
  <c r="D119"/>
  <c r="D111"/>
  <c r="D113"/>
  <c r="D117"/>
  <c r="D115"/>
  <c r="D112"/>
  <c r="D114"/>
  <c r="D116"/>
  <c r="F119"/>
  <c r="F118"/>
  <c r="F111"/>
  <c r="F113"/>
  <c r="F117"/>
  <c r="F116"/>
  <c r="F115"/>
  <c r="F114"/>
  <c r="F112"/>
  <c r="D110"/>
  <c r="F110"/>
  <c r="E87"/>
  <c r="D82"/>
  <c r="D84"/>
  <c r="D85"/>
  <c r="D81"/>
  <c r="D83"/>
  <c r="D86"/>
  <c r="D6" i="15"/>
  <c r="L110" i="19"/>
  <c r="G87"/>
  <c r="K86"/>
  <c r="H119"/>
  <c r="H113"/>
  <c r="H116"/>
  <c r="H111"/>
  <c r="H117"/>
  <c r="H112"/>
  <c r="H118"/>
  <c r="H115"/>
  <c r="H114"/>
  <c r="L73"/>
  <c r="L70"/>
  <c r="L69"/>
  <c r="L72"/>
  <c r="I86"/>
  <c r="L71"/>
  <c r="L68"/>
  <c r="N74"/>
  <c r="I74" l="1"/>
  <c r="D9" i="15"/>
  <c r="F120" i="19"/>
  <c r="D120"/>
  <c r="H120"/>
  <c r="D87"/>
  <c r="F82"/>
  <c r="F84"/>
  <c r="F85"/>
  <c r="F81"/>
  <c r="F83"/>
  <c r="F86"/>
  <c r="L74"/>
  <c r="H85"/>
  <c r="H81"/>
  <c r="H82"/>
  <c r="H83"/>
  <c r="H84"/>
  <c r="L86"/>
  <c r="I87"/>
  <c r="K87"/>
  <c r="H86"/>
  <c r="J120"/>
  <c r="F87" l="1"/>
  <c r="J83"/>
  <c r="J85"/>
  <c r="J81"/>
  <c r="J82"/>
  <c r="J84"/>
  <c r="J86"/>
  <c r="H87"/>
  <c r="L87"/>
  <c r="J87" l="1"/>
</calcChain>
</file>

<file path=xl/sharedStrings.xml><?xml version="1.0" encoding="utf-8"?>
<sst xmlns="http://schemas.openxmlformats.org/spreadsheetml/2006/main" count="999" uniqueCount="389">
  <si>
    <t>Lp</t>
  </si>
  <si>
    <t>Budynek</t>
  </si>
  <si>
    <t>Adres</t>
  </si>
  <si>
    <t>rok budowy</t>
  </si>
  <si>
    <t>energia elektryczna</t>
  </si>
  <si>
    <t>Zużycie [kWh/rok]</t>
  </si>
  <si>
    <t>Zużycie [MWh/rok]</t>
  </si>
  <si>
    <t>Wskaźnik emisji CO2 [Mg/MWh]</t>
  </si>
  <si>
    <t>Emisja CO2 [MgCO2/rok]</t>
  </si>
  <si>
    <t>ciepło sieciowe</t>
  </si>
  <si>
    <t>gaz ziemny</t>
  </si>
  <si>
    <t>Powierzchnia  użytkowa [m2]</t>
  </si>
  <si>
    <t>Kubatura całkowita [m3]</t>
  </si>
  <si>
    <t>Zużycie [GJ/rok]</t>
  </si>
  <si>
    <t>Zużycie [m3/rok]</t>
  </si>
  <si>
    <t>Zużycie [kg/rok]</t>
  </si>
  <si>
    <t>olej opałowy</t>
  </si>
  <si>
    <t>gaz sieciowy</t>
  </si>
  <si>
    <t>-</t>
  </si>
  <si>
    <t>wskaźnik emisji</t>
  </si>
  <si>
    <t>olej napędowy</t>
  </si>
  <si>
    <t>liczba połączeń</t>
  </si>
  <si>
    <t>roczny przebieg [km]</t>
  </si>
  <si>
    <t>zużycie paliwa [100 l/km]</t>
  </si>
  <si>
    <t>Benzyna</t>
  </si>
  <si>
    <t>Nośnik energii</t>
  </si>
  <si>
    <t>Wartość opałowa (MJ/kg)</t>
  </si>
  <si>
    <t>Energia elektryczna</t>
  </si>
  <si>
    <t>Ciepło sieciowe</t>
  </si>
  <si>
    <t>Gaz ziemny</t>
  </si>
  <si>
    <t>Gaz płynny</t>
  </si>
  <si>
    <t>Węgiel kamienny</t>
  </si>
  <si>
    <t>Olej opałowy</t>
  </si>
  <si>
    <t>Biomasa (w tym m.in. drewno opałowe, pellet)</t>
  </si>
  <si>
    <t>Olej napędowy</t>
  </si>
  <si>
    <t>Gaz LPG</t>
  </si>
  <si>
    <t>emisja CO2 [Mg]</t>
  </si>
  <si>
    <t>Energia [MJ]</t>
  </si>
  <si>
    <t>Energia [MWh]</t>
  </si>
  <si>
    <t>liczba kursów rocznie</t>
  </si>
  <si>
    <t>wartość opałowa [Mj/m3]</t>
  </si>
  <si>
    <t>Zużycie energii [MJ/rok]</t>
  </si>
  <si>
    <t>Zużycie energii [MWh/rok]</t>
  </si>
  <si>
    <t>oświetlenie publiczne</t>
  </si>
  <si>
    <t>oprawy oświetleniowe</t>
  </si>
  <si>
    <t>moc opraw [W]</t>
  </si>
  <si>
    <t>moc opraw [kW]</t>
  </si>
  <si>
    <t>średni czas świecenia [h]</t>
  </si>
  <si>
    <t>użyteczność publiczna</t>
  </si>
  <si>
    <t>mieszkalnictwo</t>
  </si>
  <si>
    <t>RAZEM</t>
  </si>
  <si>
    <t>motocykle</t>
  </si>
  <si>
    <t>autobusy</t>
  </si>
  <si>
    <t>MWh</t>
  </si>
  <si>
    <t>Wartość opałowa (MJ/m3)</t>
  </si>
  <si>
    <t>węgiel kamienny</t>
  </si>
  <si>
    <t>gaz płynny</t>
  </si>
  <si>
    <t>Gęstość [kg/m3]</t>
  </si>
  <si>
    <t>Podsumowanie</t>
  </si>
  <si>
    <t>nośnik energii</t>
  </si>
  <si>
    <t>zużycie energii [MWh]</t>
  </si>
  <si>
    <t>PODSUMOWANIE</t>
  </si>
  <si>
    <t>udział [%]</t>
  </si>
  <si>
    <t>zużycie paliwa 
[l/rok]</t>
  </si>
  <si>
    <t>zużycie paliwa 
[kg/rok]</t>
  </si>
  <si>
    <t>przewoźnik</t>
  </si>
  <si>
    <t>powierzchnia</t>
  </si>
  <si>
    <t>lekkie ciężarowe</t>
  </si>
  <si>
    <t>ciężarowe bez przyczep</t>
  </si>
  <si>
    <t>ciężarowe z przyczepami</t>
  </si>
  <si>
    <t>samochody osobowe</t>
  </si>
  <si>
    <t>kategoria drogi</t>
  </si>
  <si>
    <t>krajowa</t>
  </si>
  <si>
    <t>wojewódzka</t>
  </si>
  <si>
    <t>powiatowa</t>
  </si>
  <si>
    <t>gminna</t>
  </si>
  <si>
    <t>długość dróg [km]</t>
  </si>
  <si>
    <t>Wozokolometry rocznie</t>
  </si>
  <si>
    <t>benzyna</t>
  </si>
  <si>
    <t>gaz LPG</t>
  </si>
  <si>
    <t>Roczne zużycie paliwa [l]</t>
  </si>
  <si>
    <t>gęstość [kg/l]</t>
  </si>
  <si>
    <t>zużycie</t>
  </si>
  <si>
    <t>% udział</t>
  </si>
  <si>
    <t>biomasa</t>
  </si>
  <si>
    <t>Powierzchnia lokali mieszkalnych - z podatku od nieruchomości</t>
  </si>
  <si>
    <t>gaz ziemny (ogrzewanie)</t>
  </si>
  <si>
    <t>Współczynnik zapotrzebowania [KWh/m2]</t>
  </si>
  <si>
    <t>Zużycie energii [KWh/rok]</t>
  </si>
  <si>
    <r>
      <t>Wskaźnik emisji CO</t>
    </r>
    <r>
      <rPr>
        <b/>
        <vertAlign val="sub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 xml:space="preserve"> (Mg CO2/MWh)</t>
    </r>
  </si>
  <si>
    <t>Powierzchnia lokali - z podatku od nieruchomości</t>
  </si>
  <si>
    <t>przemysł i usługi</t>
  </si>
  <si>
    <t>transport prywatny</t>
  </si>
  <si>
    <t>1. Budynki użyteczności publicznej</t>
  </si>
  <si>
    <t>5. Infrastruktura wod-kan</t>
  </si>
  <si>
    <t>prognozowana zmiana [%]</t>
  </si>
  <si>
    <t>roczna zmiana powierzchni</t>
  </si>
  <si>
    <t>roczna zamiana zapotrzebowania na energię cieplną</t>
  </si>
  <si>
    <t>roczna zamiana zapotrzebowania na energię elektryczną</t>
  </si>
  <si>
    <t>roczna zmiana natężenia ruchu drogowego</t>
  </si>
  <si>
    <t>oświetlenie</t>
  </si>
  <si>
    <t>infrastruktura wod-kan</t>
  </si>
  <si>
    <t>sektor</t>
  </si>
  <si>
    <t>zmiana [%]</t>
  </si>
  <si>
    <t>Szkoła Podstawowa im. Bohaterów Powstania Warszawskiego</t>
  </si>
  <si>
    <t>Błażejewice 10A</t>
  </si>
  <si>
    <t>Szkoła Podstawowa im. Marii Konopnickiej w Starej Wsi</t>
  </si>
  <si>
    <t>Stara Wieś 25</t>
  </si>
  <si>
    <t>b.d.</t>
  </si>
  <si>
    <t>Przedszkole w Białej Rawskiej</t>
  </si>
  <si>
    <t>ul. Mickiewicza 38, Biała Rawska</t>
  </si>
  <si>
    <t>Szkoła Podstawowa im. Jana Pawła II w Lesiewie</t>
  </si>
  <si>
    <t>Wólka Lesiewska 21</t>
  </si>
  <si>
    <t>Szkoła Podstawowa im. Kardynała Stefana Wyszyńskiego w Pachach</t>
  </si>
  <si>
    <t>Pachy 25</t>
  </si>
  <si>
    <t>Szkoła Podstawowa im. Jerzego Popiełuszki w Chodnowie</t>
  </si>
  <si>
    <t>Chodnów 1</t>
  </si>
  <si>
    <t>Gimnazjum im. Adama Mickiewicza w Białej Rawskiej</t>
  </si>
  <si>
    <t>ul. Mickiewicza 24, Biała Rawska</t>
  </si>
  <si>
    <t>Miejsko-Gminny Dom Kultury</t>
  </si>
  <si>
    <t>ul. Wojska Polskiego 9, Biała Rawska</t>
  </si>
  <si>
    <t>Szkoła Podstawowa im. Fryderyka Chopina w Babsku</t>
  </si>
  <si>
    <t>ul. Lipowa 12, Babsk</t>
  </si>
  <si>
    <t>Szkoła Podstawowa im. Jana Kochanowskiego w Białej Rawskiej</t>
  </si>
  <si>
    <t>ul. Mickiewicza 22, Biała Rawska</t>
  </si>
  <si>
    <t>Środowiskowy Dom Samopomocy</t>
  </si>
  <si>
    <t>ul. Mickiewicza 25, Biała Rawska</t>
  </si>
  <si>
    <t>Miejsko-Gminny Ośrodek Samopomocy Społecznej</t>
  </si>
  <si>
    <t>Biblioteka Publiczna</t>
  </si>
  <si>
    <t>ul. Jana Pawła II 2, Biała Rawska</t>
  </si>
  <si>
    <t>ul. Jana Pawła II 57, Biała Rawska</t>
  </si>
  <si>
    <t>pojazdy gminne</t>
  </si>
  <si>
    <t>przebieg - Biała Rawska [km]</t>
  </si>
  <si>
    <t>PKS w Skierniewicach Sp. z o.o.</t>
  </si>
  <si>
    <t>przebieg gm. Biała Rawska</t>
  </si>
  <si>
    <t>km rocznie</t>
  </si>
  <si>
    <t>bd</t>
  </si>
  <si>
    <t>Zakład Gospodarki Komunalnej i Mieszkaniowej</t>
  </si>
  <si>
    <t>Żurawia 1, Biała Rawska</t>
  </si>
  <si>
    <t>gospodarka wod-kan</t>
  </si>
  <si>
    <t>8. Wartości przeliczeniowe:</t>
  </si>
  <si>
    <t>1 GJ =</t>
  </si>
  <si>
    <t>9. Gęstość paliw:</t>
  </si>
  <si>
    <t>kg/l</t>
  </si>
  <si>
    <t>Zespół Szkół Ponadgimnazjalnych w Białej Rawskiej</t>
  </si>
  <si>
    <t>ul. 15 Grudnia 9, Biała Rawska</t>
  </si>
  <si>
    <t>PKS Grójec
- kierunek:</t>
  </si>
  <si>
    <t>Grójec</t>
  </si>
  <si>
    <t>Rawa Mazowiecka</t>
  </si>
  <si>
    <t>Warszawa</t>
  </si>
  <si>
    <t>PKS Grójec Sp. z o.o.</t>
  </si>
  <si>
    <t>Urząd Miasta, Urząd Stanu Cywilnego i Wydział Oświaty</t>
  </si>
  <si>
    <t>transport</t>
  </si>
  <si>
    <t>gospodarka wodno-ściekowa</t>
  </si>
  <si>
    <r>
      <t>Bazowa inwentaryzacja emisji CO</t>
    </r>
    <r>
      <rPr>
        <b/>
        <vertAlign val="subscript"/>
        <sz val="22"/>
        <color theme="1"/>
        <rFont val="Czcionka tekstu podstawowego"/>
        <charset val="238"/>
      </rPr>
      <t xml:space="preserve">2 </t>
    </r>
    <r>
      <rPr>
        <b/>
        <sz val="22"/>
        <color theme="1"/>
        <rFont val="Czcionka tekstu podstawowego"/>
        <charset val="238"/>
      </rPr>
      <t>wraz z prognozą na 2020 rok</t>
    </r>
  </si>
  <si>
    <r>
      <t>Opracowanie wykonane przez:</t>
    </r>
    <r>
      <rPr>
        <sz val="11"/>
        <color rgb="FF000000"/>
        <rFont val="Century Gothic"/>
        <family val="2"/>
        <charset val="238"/>
      </rPr>
      <t xml:space="preserve"> </t>
    </r>
  </si>
  <si>
    <r>
      <t>AMT Partner Sp. z o. o.</t>
    </r>
    <r>
      <rPr>
        <sz val="11"/>
        <color rgb="FF000000"/>
        <rFont val="Century Gothic"/>
        <family val="2"/>
        <charset val="238"/>
      </rPr>
      <t xml:space="preserve"> </t>
    </r>
  </si>
  <si>
    <r>
      <t>www.amtpartner.pl</t>
    </r>
    <r>
      <rPr>
        <sz val="11"/>
        <color rgb="FF000000"/>
        <rFont val="Century Gothic"/>
        <family val="2"/>
        <charset val="238"/>
      </rPr>
      <t xml:space="preserve"> </t>
    </r>
  </si>
  <si>
    <t>Załącznik do Planu Gospodarki Niskoemisyjnej 
dla Gminy Biała Rawska</t>
  </si>
  <si>
    <t>Spis arkuszy</t>
  </si>
  <si>
    <t>Metodologia</t>
  </si>
  <si>
    <t>Użyteczność publiczna</t>
  </si>
  <si>
    <t>Założenia metodologiczne:</t>
  </si>
  <si>
    <t>1. Rok bazowy - 2014</t>
  </si>
  <si>
    <t>2. Rok prognozy (docelowy) - 2020</t>
  </si>
  <si>
    <t>5. Sposób inwentaryzacji - do przeliczenia ilości energii wydzielanej przez poszczególne jednostki paliwa zastosowano wartości opałowe zgodne z wyznaczonymi przez Krajowy Ośrodek Bilansowania i Zarządzania Emisjami dla wskazanego roku bazowego.</t>
  </si>
  <si>
    <t>3. Zasięg terytorialny - Gmina Biała Rawska</t>
  </si>
  <si>
    <t>4. Zakres inwentaryzacji - emisje gazów cieplarnianych powstające ze zużycia energii finalnej na terenie Gminy, w tym: energii elektrycznej, energii cieplnej (na potrzeby ogrzewania i c.w.u.), energii paliw (związanych z transportem) oraz energii gazu (na potrzeby ogrzewania oraz cele socjalno-bytowe).</t>
  </si>
  <si>
    <t>6. Sektory objęte inwentaryzacją:</t>
  </si>
  <si>
    <t xml:space="preserve"> - Mieszkalnictwo</t>
  </si>
  <si>
    <t xml:space="preserve"> - Transport</t>
  </si>
  <si>
    <t xml:space="preserve"> - Oświetlenie publiczne</t>
  </si>
  <si>
    <t xml:space="preserve"> - Gospodarka wodno-ściekowa</t>
  </si>
  <si>
    <t xml:space="preserve"> - Premysł i usługi</t>
  </si>
  <si>
    <t xml:space="preserve"> - Budynki użyteczności publicznej</t>
  </si>
  <si>
    <t>7. Wartości opałowe i wskaźniki emisji</t>
  </si>
  <si>
    <t>kategoria</t>
  </si>
  <si>
    <t>2. Mieszkalnictwo</t>
  </si>
  <si>
    <t>GMINA BIAŁA RAWSKA - sektory</t>
  </si>
  <si>
    <t>GMINA BIAŁA RAWSKA - nośniki energii</t>
  </si>
  <si>
    <t>3. Transport</t>
  </si>
  <si>
    <t>4. Oświetlenie</t>
  </si>
  <si>
    <t>6. Przemysł i usługi</t>
  </si>
  <si>
    <t>GJ</t>
  </si>
  <si>
    <t>m3</t>
  </si>
  <si>
    <t>gaz ziemny (c.w.u., bytowe)</t>
  </si>
  <si>
    <t>Gdańsk, październik 2015</t>
  </si>
  <si>
    <t xml:space="preserve"> - CIEPŁO SIECIOWE - dane Operatora ciepłowni gminnej</t>
  </si>
  <si>
    <t xml:space="preserve"> - GAZ ZIEMNY - dane Głównego Urzędu Statystycznego (2014r.)</t>
  </si>
  <si>
    <t xml:space="preserve"> - POZOSTAŁE NOŚNIKI - struktura na podstawie badania ankietowego</t>
  </si>
  <si>
    <t>Struktura nośników</t>
  </si>
  <si>
    <t>Transport prywatny</t>
  </si>
  <si>
    <t>PKS Skierniewice</t>
  </si>
  <si>
    <t>Linie</t>
  </si>
  <si>
    <t>PKS Grójec</t>
  </si>
  <si>
    <t>SDR dzienny</t>
  </si>
  <si>
    <t>Struktura paliw (dane statystyczne dla Polski)</t>
  </si>
  <si>
    <t>Średnie spalanie [l/100km] (dane statystyczne dla Polski z uwzglednieniem charakteru ruchu na terenie gminy Biała Rawska)</t>
  </si>
  <si>
    <t>Powierczhnia ogrzewana [m2]</t>
  </si>
  <si>
    <t>Zmiana [%]</t>
  </si>
  <si>
    <t>Mieszkalnictwo</t>
  </si>
  <si>
    <t>Transport</t>
  </si>
  <si>
    <t>Oświetlenie</t>
  </si>
  <si>
    <t>Infrastruktura wodno-ściekowa</t>
  </si>
  <si>
    <t>Przemysł i usługi</t>
  </si>
  <si>
    <t>Prognoza 2020</t>
  </si>
  <si>
    <t xml:space="preserve"> - WSPÓŁCZYNNIK ZAPOTRZEBOWANIA NA ENERGIĘ = 150 kWh/m2 rocznie - opracowany na podstawie badania ankietowego oraz wskaźników dla Polski</t>
  </si>
  <si>
    <t xml:space="preserve"> - WSPÓŁCZYNNIK ZAPOTRZEBOWANIA NA ENERGIĘ = 162 kWh/m2 rocznie - opracowany na podstawie badania ankietowego oraz wskaźników dla Polski</t>
  </si>
  <si>
    <t>____________________________________________________________________</t>
  </si>
  <si>
    <t>Aktualizacja Planu gospodarki niskoemisyjnej dla Gminy Biała Rawska</t>
  </si>
  <si>
    <t>na lata 2021-2030</t>
  </si>
  <si>
    <t xml:space="preserve">Opracowana przez: </t>
  </si>
  <si>
    <t>26-200 Końskie ul. Polna 72</t>
  </si>
  <si>
    <t>www.basz.pl</t>
  </si>
  <si>
    <t>Przedsiębiorstwo Produkcyjno – Usługowo - Handlowe „BaSz” mgr inż. Bartosz Szymusik</t>
  </si>
  <si>
    <t>Przedsięwzięcia planowane do realizacji w perspektywie lat 2015-2020 - stopień realizacji PGN2020</t>
  </si>
  <si>
    <t xml:space="preserve">I </t>
  </si>
  <si>
    <t>NR</t>
  </si>
  <si>
    <t>OCENA STOPNIA REALIZACJI /STATUS</t>
  </si>
  <si>
    <t>Termin realizacji</t>
  </si>
  <si>
    <t>Koszt działania [zł]</t>
  </si>
  <si>
    <t>Redukcja zużycia energii końcowej [MWh/rok]</t>
  </si>
  <si>
    <t>Redukcja emisji CO2 [Mg/rok]</t>
  </si>
  <si>
    <t>Produkcja energii z OZE [MWh/rok]</t>
  </si>
  <si>
    <t>Uwagi</t>
  </si>
  <si>
    <t>planowany</t>
  </si>
  <si>
    <t>poniesiony</t>
  </si>
  <si>
    <t xml:space="preserve">planowana </t>
  </si>
  <si>
    <t>osiągnięta</t>
  </si>
  <si>
    <t xml:space="preserve">PODSUMOWANIE  </t>
  </si>
  <si>
    <r>
      <t>WSKAŹNIKI EMISJI PRZYJĘTE DO OBLICZEŃ WIELKOŚCI EMISJI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</t>
    </r>
  </si>
  <si>
    <t>Nośnik</t>
  </si>
  <si>
    <r>
      <t xml:space="preserve"> współczynnik emisji Mg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/MWh</t>
    </r>
  </si>
  <si>
    <t>wartość opałowa [MJ/kg]</t>
  </si>
  <si>
    <t>Węgiel</t>
  </si>
  <si>
    <t>Biomasa</t>
  </si>
  <si>
    <t>OZE pozostałe</t>
  </si>
  <si>
    <t>Benzyna silnikowa</t>
  </si>
  <si>
    <t>LPG</t>
  </si>
  <si>
    <t xml:space="preserve">GŁÓWNE WSKAŹNIKI MONITOROWANIA </t>
  </si>
  <si>
    <t>Jednostka</t>
  </si>
  <si>
    <t>PLAN DO ROKU 2020</t>
  </si>
  <si>
    <t>WYKONANIE NA ROK 2020</t>
  </si>
  <si>
    <r>
      <t>MgCO</t>
    </r>
    <r>
      <rPr>
        <i/>
        <vertAlign val="sub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/rok</t>
    </r>
  </si>
  <si>
    <t>Redukcja zużycia energii finalnej</t>
  </si>
  <si>
    <t>MWh/rok</t>
  </si>
  <si>
    <t xml:space="preserve">Wzrost produkcji energii ze źródeł odnawialnych </t>
  </si>
  <si>
    <t>%</t>
  </si>
  <si>
    <t>Wartości wyjściowe wskaźników oceny realizacji PGN - rok bazowy 2014 i rok oceny 2020</t>
  </si>
  <si>
    <t>Wskaźnik oceny</t>
  </si>
  <si>
    <t xml:space="preserve">Emisja dwutlenku węgla </t>
  </si>
  <si>
    <r>
      <t>Mg CO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/rok</t>
    </r>
  </si>
  <si>
    <t>Poziom zużycia energii końcowej</t>
  </si>
  <si>
    <t>DZIAŁANIA  INWESTYCYJNE I NIEINWESTYCYJNE</t>
  </si>
  <si>
    <t>PLANOWANE LATA REALIZACJI</t>
  </si>
  <si>
    <t>ORIENTACYJNY KOSZT [zł]</t>
  </si>
  <si>
    <t>PODSTAWOWE WSKAŹNIKI</t>
  </si>
  <si>
    <t>UWAGI</t>
  </si>
  <si>
    <t>1.</t>
  </si>
  <si>
    <t>2.</t>
  </si>
  <si>
    <t xml:space="preserve">3. </t>
  </si>
  <si>
    <t xml:space="preserve">4. </t>
  </si>
  <si>
    <t xml:space="preserve">5. </t>
  </si>
  <si>
    <t>6.</t>
  </si>
  <si>
    <t xml:space="preserve">7. </t>
  </si>
  <si>
    <t xml:space="preserve">8. </t>
  </si>
  <si>
    <t>9.</t>
  </si>
  <si>
    <t>10.</t>
  </si>
  <si>
    <t>11.</t>
  </si>
  <si>
    <t>12.</t>
  </si>
  <si>
    <t>13.</t>
  </si>
  <si>
    <t>14.</t>
  </si>
  <si>
    <t xml:space="preserve">15. </t>
  </si>
  <si>
    <t xml:space="preserve">16. </t>
  </si>
  <si>
    <t>SUMA</t>
  </si>
  <si>
    <t>PLAN NA ROK 2020</t>
  </si>
  <si>
    <t>OSIĄGNIĘTE NA ROK 2020</t>
  </si>
  <si>
    <t xml:space="preserve">Dodano arkusze: </t>
  </si>
  <si>
    <t>10. Raport z działań 2020</t>
  </si>
  <si>
    <t>11. HRF 2021-2030</t>
  </si>
  <si>
    <t>Biała Rawska 2022 rok</t>
  </si>
  <si>
    <t>Termomodernizacja Kompleksu Budynków Urzędu Miasta</t>
  </si>
  <si>
    <t>Termomodernizacja Budynku Kultury i Sztuki (Biblioteka)</t>
  </si>
  <si>
    <t>Termomodernizacja Klubu Abstynenckiego</t>
  </si>
  <si>
    <t>Przebudowa z rozbudową sieci cieplnej niskotemperaturowej; Oś. Mickiewicza i Oś. Wojska Polskiego</t>
  </si>
  <si>
    <t>Rozbudowa z przebudową budynku Miejsko-Gminnego Ośrodka Kultury (MGOK) na potrzeby ,,CENTRUM KULTURY”</t>
  </si>
  <si>
    <t>Budowa Traktu Spacerowego od Osiedla Mickiewicza do OSiR w Białej Rawskiej - Etap II</t>
  </si>
  <si>
    <t>Rewitalizacja Centrum Białej Rawskiej</t>
  </si>
  <si>
    <t>Program wsparcia budowy instalacji fotowoltaicznych i solarnych w budynkach mieszkalnych i użyteczności publicznej na terenie gminy</t>
  </si>
  <si>
    <t>Budowa farmy fotowoltaicznej</t>
  </si>
  <si>
    <t>Podłączanie do sieci gazowej klientów indywidualnych</t>
  </si>
  <si>
    <t>Modernizacja sieci elektroenergetycznej na terenie gminy</t>
  </si>
  <si>
    <t>Działania nieinwestycyjne dotyczące poszanowania energii oraz ograniczenia emisji zanieczyszczeń do atmosfery</t>
  </si>
  <si>
    <t>Wdrożenie „zielonych zamówień”</t>
  </si>
  <si>
    <r>
      <t>Redukcja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</si>
  <si>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NAZWA ZADANIA</t>
  </si>
  <si>
    <r>
      <t>SUMA (</t>
    </r>
    <r>
      <rPr>
        <b/>
        <i/>
        <sz val="11"/>
        <color theme="1"/>
        <rFont val="Calibri"/>
        <family val="2"/>
        <charset val="238"/>
        <scheme val="minor"/>
      </rPr>
      <t>1-14)</t>
    </r>
  </si>
  <si>
    <t>Termomodernizacja budynku użyteczności publicznej w Białej Rawskiej przy ul. Mickiewicza 25</t>
  </si>
  <si>
    <t>Termomodernizacja budynku Zakładu Gospodarki Komunalnej i Mieszkaniowej w Żurawi  (ZGKiM)</t>
  </si>
  <si>
    <t>Przebudowa budynku starej szkoły w Babsku na potrzebny przedszkola wraz z termomodernizacją</t>
  </si>
  <si>
    <t>Wymiana pieców węglowych c.o. na piece opalane peletem w szkole w Babsku</t>
  </si>
  <si>
    <t>Energia odnawialna dla firm na terenie Gminy Biała Rawska (wykorzystanie źródeł OZE na potrzeby produkcyjne)</t>
  </si>
  <si>
    <t>Termomodernizacja budynków użyteczności publicznej w Powiecie Rawskim</t>
  </si>
  <si>
    <t xml:space="preserve">Energia odnawialna na obiektach OSP na terenie Gminy Biała Rawska </t>
  </si>
  <si>
    <r>
      <t>SUMA (</t>
    </r>
    <r>
      <rPr>
        <b/>
        <i/>
        <sz val="11"/>
        <color theme="1"/>
        <rFont val="Calibri"/>
        <family val="2"/>
        <charset val="238"/>
        <scheme val="minor"/>
      </rPr>
      <t>15-21)</t>
    </r>
  </si>
  <si>
    <t>ZREALIZOWANE</t>
  </si>
  <si>
    <r>
      <t xml:space="preserve">Zadania inwestycyjne 1,2,3 zrealizowano w ramach projektu pn. </t>
    </r>
    <r>
      <rPr>
        <i/>
        <sz val="11"/>
        <color theme="1"/>
        <rFont val="Calibri"/>
        <family val="2"/>
        <charset val="238"/>
        <scheme val="minor"/>
      </rPr>
      <t>Termomodernizacja budynków użyteczności publicznej na terenie miasta Biała Rawska</t>
    </r>
    <r>
      <rPr>
        <sz val="11"/>
        <color theme="1"/>
        <rFont val="Calibri"/>
        <family val="2"/>
        <charset val="238"/>
        <scheme val="minor"/>
      </rPr>
      <t xml:space="preserve">. Efekty realizacji podano łącznie w oparciu o zgromadzoną dokumentację: audyt energetyczny, studium wykonalności, wniosek o dofinansowanie do RPOWŁ. Całkowita wartość nakładów inwestycyjnych to 1.581.232zł w tym prace termomodernizacyjne budynków: 1.267,090,50zł. Projekt uzyskał dofinansowanie z UE w ramach RPO WŁ.  </t>
    </r>
  </si>
  <si>
    <t>NR ZADANIA</t>
  </si>
  <si>
    <t>2016-2019</t>
  </si>
  <si>
    <t>NIEZREALIZOWANE</t>
  </si>
  <si>
    <t>2018-2019</t>
  </si>
  <si>
    <t>2015-2020</t>
  </si>
  <si>
    <t>CZĘŚCIOWO ZREALIZOWANE</t>
  </si>
  <si>
    <t>brak danych</t>
  </si>
  <si>
    <t>CIĄGŁE</t>
  </si>
  <si>
    <t>ZADANIA REZERWOWE WPROWADZONE ANEKSEM NR 1 I NR 2</t>
  </si>
  <si>
    <t>W TRAKCIE REALIZACJI</t>
  </si>
  <si>
    <t>2020-2021</t>
  </si>
  <si>
    <t>Projekt inwestycyjny w trakcie realizacji. Wartość nakładów inwestycyjnych to 805.500zł. Okres realizacji obejmuje lata 2020-2021. Efekty energetyczne i ekologiczne przedsięwzięcia termomodernizacyjnego spodziewane są po pełnym roku eksploatacji, tj. od roku 2022 - przedsięwzięcie uwzględnione zostanie w harmonogramie zadań na lata 2021-2030.</t>
  </si>
  <si>
    <t xml:space="preserve">Efekty energetyczne i ekologiczne wskazano zgodnie z dokumenmtacją projektową - audyt energetyczny budynku </t>
  </si>
  <si>
    <t>Zadanie wchodzi w zakres rzeczowy  projektu pn. "Zakup i montaż mikroinstalacji fotowoltaicznych z systemem zarządzania energią oraz wymiana instalacji pieca węglowego c.o. na piec opalany pelletem drzewnym w gminie Biała Rawska". Projekt i jego efekty energetyczne, ekologiczne i nakłady w całości uwzględniono w zadaniu 8.</t>
  </si>
  <si>
    <t>2019-2020</t>
  </si>
  <si>
    <t>Poprawa efektywności energetycznej i zmniejszenie emisji pyłów i innych zanieczyszczeń do atmosfery</t>
  </si>
  <si>
    <t>2018-2020</t>
  </si>
  <si>
    <t xml:space="preserve">Redukcja zużycia energii końcowej [MWh/rok] </t>
  </si>
  <si>
    <t>Ograniczenie niskiej emisji na terenie gminy Biała Rawska (PONE)</t>
  </si>
  <si>
    <t>Termomodernizacja budynków użyteczności publicznej – przebudowa Ośrodka Zdrowia w Dańkowie wraz z termomodernizacją</t>
  </si>
  <si>
    <t>Modernizacja kotłowni osiedlowej przy ul. Mickiewicza 34 w Białej Rawskiej</t>
  </si>
  <si>
    <t>Energia odnawialna dla firm na terenie Gminy Biała Rawska</t>
  </si>
  <si>
    <t>do 2020</t>
  </si>
  <si>
    <t>Zastosowanie odnawialnych źródeł energii w budynkach prywatnych</t>
  </si>
  <si>
    <t>2015-2016</t>
  </si>
  <si>
    <t>I.</t>
  </si>
  <si>
    <t>II.</t>
  </si>
  <si>
    <t>POZOSTAŁE ZADANIA ZREALIZOWANE</t>
  </si>
  <si>
    <t>III.</t>
  </si>
  <si>
    <r>
      <t>SUMA (22</t>
    </r>
    <r>
      <rPr>
        <b/>
        <i/>
        <sz val="11"/>
        <color theme="1"/>
        <rFont val="Calibri"/>
        <family val="2"/>
        <charset val="238"/>
        <scheme val="minor"/>
      </rPr>
      <t>-27)</t>
    </r>
  </si>
  <si>
    <t>Udział energii pochodzacej z OZE  (w stosunku do roku bazowego)</t>
  </si>
  <si>
    <t>Produkcja energii z OZE (łącznie z  biomasą)</t>
  </si>
  <si>
    <t xml:space="preserve">Przebudowa sieci ciepłowniczej w Białej Rawskiej przy ul. Mickiewicza – IV etap </t>
  </si>
  <si>
    <t>Termomodernizacje budynków mieszkalnych będących w zarządzie spółdzielni i wspólnot mieszkaniowych</t>
  </si>
  <si>
    <t>2021-2030</t>
  </si>
  <si>
    <t>Efekty energetyczne i ekologiczne określono szacunkowo, na podstawie założeń z PGN2020</t>
  </si>
  <si>
    <t>Termomodernizacje budynków mieszkalnych będących w zarządzie spółdzielni i wspólnot mieszkaniowych oraz budynków prywatnych</t>
  </si>
  <si>
    <t>Termomodernizacja budynków użyteczności publicznej Gminy Biała Rawska</t>
  </si>
  <si>
    <t>2021-2025</t>
  </si>
  <si>
    <t>Efekty energetyczne i ekologiczne określono szacunkowo, na podstawie założeń i danych audytowych.</t>
  </si>
  <si>
    <t>2021-2027</t>
  </si>
  <si>
    <t>Poprawa efektywności energetycznej w sektorze mieszkalnym - udział w programie „Czyste powietrze”</t>
  </si>
  <si>
    <t>Zwiększenie wykorzystania odnawialnych źródeł energii w budynkach prywatnych - mikroinstalacje</t>
  </si>
  <si>
    <t>Zwiększenie wykorzystania odnawialnych źródeł energii w budynkach użyteczności publicznej</t>
  </si>
  <si>
    <t>Budowa instalacji fotowoltaicznych o mocy powyżej 500kW</t>
  </si>
  <si>
    <t>Efekty energetyczne i ekologiczne określono szacunkowo, na podstawie założeń.</t>
  </si>
  <si>
    <t xml:space="preserve">Zakres inestycji określony na podstawie wydanej decyzji środowiskowej </t>
  </si>
  <si>
    <t>Rozbudowa i modernizacja oświetlenia ulicznego w gminie Biała Rawska</t>
  </si>
  <si>
    <t>Poprawa stanu dróg gminnych</t>
  </si>
  <si>
    <t>Rozbudowa drogi Grzymkowice – Pachy (dł. 1,0km)</t>
  </si>
  <si>
    <t>Przebudowa drogi Orla Góra – Wola Chojnata (dł. 2,4km)</t>
  </si>
  <si>
    <t>Przebudowa odcinka drogi w m. Błażejewice (dł. 1,25km)</t>
  </si>
  <si>
    <t>Remont drogi Żurawia – Żurawka (dł. 1,9km)</t>
  </si>
  <si>
    <t>Przebudowa odcinka drogi Grzymkowice – Białogórne (dł. 3km)</t>
  </si>
  <si>
    <t>Przebudowa odcinka drogi w m. Babsk (dł. 1,0km)</t>
  </si>
  <si>
    <t>Przebudowa odcinka drogi Pachy – Galinki – Wilcze Piętki (dł. 2,5km)</t>
  </si>
  <si>
    <t>Budowa ulicy łączącej ul. Jana Pawła II z ul. Kościuszki w m. Biała Rawska (dł. 0,4km)</t>
  </si>
  <si>
    <t>Przebudowa odcinka drogi w m. Chrząszczew</t>
  </si>
  <si>
    <t>Budowa w Białej Rawskiej ul. Nadrzecznej</t>
  </si>
  <si>
    <t>Rozbudowa sieci gazowej na terenie gminy Biała Rawska</t>
  </si>
  <si>
    <t xml:space="preserve">Działanie o charakterze nieinwestycyjnym.  Zadanie realizuje strategię rozwoju gospodarki niskoemisyjnej na terenie gminy Biała Rawska.  </t>
  </si>
  <si>
    <t>Planowanie przestrzenne</t>
  </si>
  <si>
    <t>Wdrażanie nowych technologii</t>
  </si>
  <si>
    <t xml:space="preserve">Działanie o charakterze inwestycyjnym. Zadanie realizuje strategię rozwoju gospodarki niskoemisyjnej na terenie gminy Biała Rawska.  </t>
  </si>
  <si>
    <t>Harmonogram rzeczowo – finansowy planu zadań na lata 2021-2030</t>
  </si>
  <si>
    <t>PLAN NA ROK 2030 *</t>
  </si>
  <si>
    <t>OSIĄGNIĘTE NA ROK 2030</t>
  </si>
  <si>
    <t>* Plan na rok 2030 to suma wskaźników: osiągniętych na rok 2020 i planowanych do osiągnięcia w latach 2021-2030</t>
  </si>
  <si>
    <t>DODATKOWE WSKAŹNIKI - POZOSTAŁE ZANIECZYSZCZENIA POWIETRZA</t>
  </si>
  <si>
    <t>ORIENTACYJNY EFEKT REDUKCJI EMISJI PM10 [Mg/ROK]</t>
  </si>
  <si>
    <t>ORIENTACYJNY EFEKT REDUKCJI EMISJI PM2,5 [Mg/ROK]</t>
  </si>
  <si>
    <t>ORIENTACYJNY EFEKT REDUKCJI EMISJI B(a)P [Mg/ROK]</t>
  </si>
  <si>
    <t>Wskaźnik emisji Mg PM10/MWh</t>
  </si>
  <si>
    <t>Wskaźnik emisji MgPM2,5/MWh</t>
  </si>
  <si>
    <t>Wskaźnik emisji  Mg B(a)P/MWh</t>
  </si>
  <si>
    <t>uśrednienie z transportu</t>
  </si>
  <si>
    <t>DODATKOWE WSKAŹNIKI MONITOROWANIA</t>
  </si>
  <si>
    <t>Redukcja emisji pyłu zawieszonego PM10</t>
  </si>
  <si>
    <t>Mg/rok</t>
  </si>
  <si>
    <t>Redukcja emisji pyłu zawieszonego PM2,5</t>
  </si>
  <si>
    <t>Redukcja emisji benzo(a)pirenu</t>
  </si>
  <si>
    <t>STOPIEŃ REALIZACJI  [%] - RELACJA PLAN/WYKONANIE</t>
  </si>
</sst>
</file>

<file path=xl/styles.xml><?xml version="1.0" encoding="utf-8"?>
<styleSheet xmlns="http://schemas.openxmlformats.org/spreadsheetml/2006/main">
  <numFmts count="13">
    <numFmt numFmtId="43" formatCode="_-* #,##0.00\ _z_ł_-;\-* #,##0.00\ _z_ł_-;_-* &quot;-&quot;??\ _z_ł_-;_-@_-"/>
    <numFmt numFmtId="164" formatCode="#,##0.000"/>
    <numFmt numFmtId="165" formatCode="0.000"/>
    <numFmt numFmtId="166" formatCode="#,##0.00\ _z_ł"/>
    <numFmt numFmtId="167" formatCode="0.0000"/>
    <numFmt numFmtId="168" formatCode="0.00000000"/>
    <numFmt numFmtId="169" formatCode="0.0"/>
    <numFmt numFmtId="170" formatCode="[$-415]General"/>
    <numFmt numFmtId="171" formatCode="#,##0.0\ _z_ł"/>
    <numFmt numFmtId="172" formatCode="0.000000000"/>
    <numFmt numFmtId="173" formatCode="0.00000"/>
    <numFmt numFmtId="174" formatCode="#,##0.0000\ _z_ł"/>
    <numFmt numFmtId="175" formatCode="#,##0.0000"/>
  </numFmts>
  <fonts count="8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vertAlign val="subscript"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7.5"/>
      <color theme="1"/>
      <name val="Czcionka tekstu podstawowego"/>
      <family val="2"/>
      <charset val="238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22"/>
      <color theme="1"/>
      <name val="Czcionka tekstu podstawowego"/>
      <charset val="238"/>
    </font>
    <font>
      <b/>
      <vertAlign val="subscript"/>
      <sz val="22"/>
      <color theme="1"/>
      <name val="Czcionka tekstu podstawowego"/>
      <charset val="238"/>
    </font>
    <font>
      <b/>
      <sz val="11"/>
      <color rgb="FF002060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sz val="11"/>
      <color rgb="FF000000"/>
      <name val="Calibri"/>
      <family val="2"/>
      <charset val="238"/>
    </font>
    <font>
      <b/>
      <sz val="16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u/>
      <sz val="10"/>
      <color theme="1"/>
      <name val="Czcionka tekstu podstawowego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i/>
      <vertAlign val="subscript"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2"/>
      <color rgb="FFFFFFFF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u/>
      <sz val="11"/>
      <color theme="1"/>
      <name val="Czcionka tekstu podstawowego"/>
      <family val="2"/>
      <charset val="238"/>
    </font>
    <font>
      <b/>
      <i/>
      <sz val="10"/>
      <color theme="1"/>
      <name val="Czcionka tekstu podstawowego"/>
      <charset val="238"/>
    </font>
    <font>
      <sz val="11"/>
      <color rgb="FF000000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10"/>
      <color theme="2" tint="-0.249977111117893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sz val="10"/>
      <color theme="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zcionka tekstu podstawowego"/>
      <charset val="238"/>
    </font>
    <font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4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3" applyNumberFormat="0" applyFill="0" applyAlignment="0" applyProtection="0"/>
    <xf numFmtId="0" fontId="16" fillId="0" borderId="64" applyNumberFormat="0" applyFill="0" applyAlignment="0" applyProtection="0"/>
    <xf numFmtId="0" fontId="17" fillId="0" borderId="6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66" applyNumberFormat="0" applyAlignment="0" applyProtection="0"/>
    <xf numFmtId="0" fontId="22" fillId="7" borderId="67" applyNumberFormat="0" applyAlignment="0" applyProtection="0"/>
    <xf numFmtId="0" fontId="23" fillId="7" borderId="66" applyNumberFormat="0" applyAlignment="0" applyProtection="0"/>
    <xf numFmtId="0" fontId="24" fillId="0" borderId="68" applyNumberFormat="0" applyFill="0" applyAlignment="0" applyProtection="0"/>
    <xf numFmtId="0" fontId="25" fillId="8" borderId="69" applyNumberFormat="0" applyAlignment="0" applyProtection="0"/>
    <xf numFmtId="0" fontId="26" fillId="0" borderId="0" applyNumberFormat="0" applyFill="0" applyBorder="0" applyAlignment="0" applyProtection="0"/>
    <xf numFmtId="0" fontId="2" fillId="9" borderId="70" applyNumberFormat="0" applyFont="0" applyAlignment="0" applyProtection="0"/>
    <xf numFmtId="0" fontId="27" fillId="0" borderId="0" applyNumberFormat="0" applyFill="0" applyBorder="0" applyAlignment="0" applyProtection="0"/>
    <xf numFmtId="0" fontId="8" fillId="0" borderId="71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170" fontId="39" fillId="0" borderId="0" applyBorder="0" applyProtection="0"/>
    <xf numFmtId="170" fontId="39" fillId="0" borderId="0"/>
    <xf numFmtId="0" fontId="63" fillId="0" borderId="0" applyBorder="0" applyProtection="0"/>
    <xf numFmtId="170" fontId="39" fillId="0" borderId="0"/>
    <xf numFmtId="170" fontId="39" fillId="0" borderId="0"/>
  </cellStyleXfs>
  <cellXfs count="742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4" fontId="4" fillId="0" borderId="0" xfId="0" applyNumberFormat="1" applyFont="1" applyAlignment="1">
      <alignment wrapText="1"/>
    </xf>
    <xf numFmtId="4" fontId="4" fillId="0" borderId="2" xfId="0" applyNumberFormat="1" applyFont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4" fillId="0" borderId="23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30" xfId="0" applyFont="1" applyBorder="1" applyAlignment="1">
      <alignment wrapText="1"/>
    </xf>
    <xf numFmtId="4" fontId="4" fillId="0" borderId="33" xfId="0" applyNumberFormat="1" applyFont="1" applyBorder="1" applyAlignment="1"/>
    <xf numFmtId="4" fontId="4" fillId="0" borderId="34" xfId="0" applyNumberFormat="1" applyFont="1" applyBorder="1" applyAlignment="1"/>
    <xf numFmtId="4" fontId="4" fillId="0" borderId="20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27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2" borderId="42" xfId="0" applyNumberFormat="1" applyFont="1" applyFill="1" applyBorder="1" applyAlignment="1">
      <alignment horizontal="right"/>
    </xf>
    <xf numFmtId="4" fontId="4" fillId="2" borderId="43" xfId="0" applyNumberFormat="1" applyFont="1" applyFill="1" applyBorder="1" applyAlignment="1">
      <alignment horizontal="right"/>
    </xf>
    <xf numFmtId="4" fontId="4" fillId="2" borderId="45" xfId="0" applyNumberFormat="1" applyFont="1" applyFill="1" applyBorder="1" applyAlignment="1">
      <alignment horizontal="right"/>
    </xf>
    <xf numFmtId="4" fontId="4" fillId="2" borderId="41" xfId="0" applyNumberFormat="1" applyFont="1" applyFill="1" applyBorder="1" applyAlignment="1">
      <alignment horizontal="right"/>
    </xf>
    <xf numFmtId="4" fontId="4" fillId="0" borderId="26" xfId="0" applyNumberFormat="1" applyFont="1" applyBorder="1" applyAlignment="1">
      <alignment horizontal="right"/>
    </xf>
    <xf numFmtId="4" fontId="4" fillId="0" borderId="28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4" fillId="0" borderId="46" xfId="0" applyFont="1" applyBorder="1" applyAlignment="1">
      <alignment wrapText="1"/>
    </xf>
    <xf numFmtId="164" fontId="4" fillId="0" borderId="2" xfId="0" applyNumberFormat="1" applyFont="1" applyBorder="1" applyAlignment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4" fontId="9" fillId="0" borderId="1" xfId="0" applyNumberFormat="1" applyFont="1" applyBorder="1" applyAlignment="1">
      <alignment horizontal="right" vertical="center" wrapText="1"/>
    </xf>
    <xf numFmtId="0" fontId="11" fillId="0" borderId="0" xfId="0" applyFont="1"/>
    <xf numFmtId="4" fontId="4" fillId="0" borderId="18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2" borderId="41" xfId="0" applyFont="1" applyFill="1" applyBorder="1" applyAlignment="1">
      <alignment wrapText="1"/>
    </xf>
    <xf numFmtId="4" fontId="4" fillId="2" borderId="42" xfId="0" applyNumberFormat="1" applyFont="1" applyFill="1" applyBorder="1" applyAlignment="1">
      <alignment wrapText="1"/>
    </xf>
    <xf numFmtId="0" fontId="4" fillId="2" borderId="43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wrapText="1"/>
    </xf>
    <xf numFmtId="0" fontId="4" fillId="2" borderId="49" xfId="0" applyFont="1" applyFill="1" applyBorder="1" applyAlignment="1">
      <alignment wrapText="1"/>
    </xf>
    <xf numFmtId="10" fontId="4" fillId="0" borderId="1" xfId="3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4" fontId="4" fillId="0" borderId="27" xfId="0" applyNumberFormat="1" applyFont="1" applyBorder="1" applyAlignment="1">
      <alignment horizontal="right" vertical="center"/>
    </xf>
    <xf numFmtId="4" fontId="4" fillId="0" borderId="28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4" fontId="4" fillId="0" borderId="2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4" fillId="0" borderId="27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4" fontId="4" fillId="0" borderId="47" xfId="0" applyNumberFormat="1" applyFont="1" applyBorder="1" applyAlignment="1">
      <alignment horizontal="right" vertical="center"/>
    </xf>
    <xf numFmtId="4" fontId="4" fillId="0" borderId="40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164" fontId="4" fillId="0" borderId="21" xfId="0" applyNumberFormat="1" applyFont="1" applyBorder="1" applyAlignment="1">
      <alignment horizontal="right" vertical="center"/>
    </xf>
    <xf numFmtId="4" fontId="4" fillId="0" borderId="38" xfId="0" applyNumberFormat="1" applyFont="1" applyBorder="1" applyAlignment="1">
      <alignment horizontal="right" vertical="center"/>
    </xf>
    <xf numFmtId="4" fontId="4" fillId="0" borderId="48" xfId="0" applyNumberFormat="1" applyFont="1" applyBorder="1" applyAlignment="1">
      <alignment horizontal="right" vertical="center"/>
    </xf>
    <xf numFmtId="4" fontId="4" fillId="2" borderId="42" xfId="0" applyNumberFormat="1" applyFont="1" applyFill="1" applyBorder="1" applyAlignment="1">
      <alignment horizontal="right" vertical="center" wrapText="1"/>
    </xf>
    <xf numFmtId="0" fontId="4" fillId="2" borderId="42" xfId="0" applyFont="1" applyFill="1" applyBorder="1" applyAlignment="1">
      <alignment horizontal="right" vertical="center" wrapText="1"/>
    </xf>
    <xf numFmtId="4" fontId="4" fillId="2" borderId="44" xfId="0" applyNumberFormat="1" applyFont="1" applyFill="1" applyBorder="1" applyAlignment="1">
      <alignment horizontal="right" vertical="center" wrapText="1"/>
    </xf>
    <xf numFmtId="4" fontId="4" fillId="2" borderId="43" xfId="0" applyNumberFormat="1" applyFont="1" applyFill="1" applyBorder="1" applyAlignment="1">
      <alignment horizontal="right" vertical="center" wrapText="1"/>
    </xf>
    <xf numFmtId="4" fontId="4" fillId="2" borderId="44" xfId="0" applyNumberFormat="1" applyFont="1" applyFill="1" applyBorder="1" applyAlignment="1">
      <alignment wrapText="1"/>
    </xf>
    <xf numFmtId="4" fontId="4" fillId="2" borderId="41" xfId="0" applyNumberFormat="1" applyFont="1" applyFill="1" applyBorder="1" applyAlignment="1">
      <alignment wrapText="1"/>
    </xf>
    <xf numFmtId="4" fontId="4" fillId="2" borderId="43" xfId="0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/>
    </xf>
    <xf numFmtId="0" fontId="4" fillId="2" borderId="50" xfId="0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wrapText="1"/>
    </xf>
    <xf numFmtId="10" fontId="4" fillId="0" borderId="1" xfId="3" applyNumberFormat="1" applyFont="1" applyBorder="1" applyAlignment="1">
      <alignment horizontal="right" wrapText="1"/>
    </xf>
    <xf numFmtId="0" fontId="4" fillId="0" borderId="5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0" fontId="4" fillId="0" borderId="1" xfId="3" applyNumberFormat="1" applyFont="1" applyBorder="1" applyAlignment="1">
      <alignment horizontal="right" vertical="center" wrapText="1"/>
    </xf>
    <xf numFmtId="10" fontId="4" fillId="0" borderId="11" xfId="3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right" vertical="center" wrapText="1"/>
    </xf>
    <xf numFmtId="10" fontId="4" fillId="2" borderId="2" xfId="3" applyNumberFormat="1" applyFont="1" applyFill="1" applyBorder="1" applyAlignment="1">
      <alignment horizontal="right" vertical="center" wrapText="1"/>
    </xf>
    <xf numFmtId="10" fontId="4" fillId="2" borderId="13" xfId="3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10" fontId="4" fillId="2" borderId="1" xfId="3" applyNumberFormat="1" applyFont="1" applyFill="1" applyBorder="1" applyAlignment="1">
      <alignment horizontal="right" wrapText="1"/>
    </xf>
    <xf numFmtId="0" fontId="4" fillId="2" borderId="1" xfId="0" applyFont="1" applyFill="1" applyBorder="1"/>
    <xf numFmtId="4" fontId="4" fillId="2" borderId="1" xfId="0" applyNumberFormat="1" applyFont="1" applyFill="1" applyBorder="1"/>
    <xf numFmtId="10" fontId="4" fillId="2" borderId="1" xfId="3" applyNumberFormat="1" applyFont="1" applyFill="1" applyBorder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20" xfId="0" applyBorder="1"/>
    <xf numFmtId="0" fontId="0" fillId="0" borderId="4" xfId="0" applyBorder="1"/>
    <xf numFmtId="0" fontId="0" fillId="0" borderId="27" xfId="0" applyBorder="1"/>
    <xf numFmtId="0" fontId="4" fillId="0" borderId="19" xfId="0" applyFont="1" applyBorder="1" applyAlignment="1">
      <alignment horizontal="center" wrapText="1"/>
    </xf>
    <xf numFmtId="0" fontId="4" fillId="0" borderId="21" xfId="0" applyFont="1" applyBorder="1" applyAlignment="1">
      <alignment wrapText="1"/>
    </xf>
    <xf numFmtId="0" fontId="4" fillId="0" borderId="47" xfId="0" applyFont="1" applyBorder="1" applyAlignment="1">
      <alignment wrapText="1"/>
    </xf>
    <xf numFmtId="0" fontId="4" fillId="0" borderId="38" xfId="0" applyFont="1" applyBorder="1" applyAlignment="1">
      <alignment wrapText="1"/>
    </xf>
    <xf numFmtId="4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9" fontId="11" fillId="0" borderId="1" xfId="3" applyFont="1" applyBorder="1"/>
    <xf numFmtId="2" fontId="11" fillId="0" borderId="1" xfId="3" applyNumberFormat="1" applyFont="1" applyBorder="1"/>
    <xf numFmtId="4" fontId="4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0" fontId="0" fillId="0" borderId="1" xfId="3" applyNumberFormat="1" applyFont="1" applyBorder="1"/>
    <xf numFmtId="0" fontId="0" fillId="0" borderId="1" xfId="0" applyFont="1" applyBorder="1"/>
    <xf numFmtId="4" fontId="0" fillId="0" borderId="1" xfId="0" applyNumberFormat="1" applyFont="1" applyBorder="1"/>
    <xf numFmtId="4" fontId="13" fillId="0" borderId="1" xfId="0" applyNumberFormat="1" applyFont="1" applyBorder="1" applyAlignment="1">
      <alignment horizontal="right" vertical="center" wrapText="1"/>
    </xf>
    <xf numFmtId="0" fontId="4" fillId="0" borderId="51" xfId="0" applyFont="1" applyBorder="1" applyAlignment="1">
      <alignment wrapText="1"/>
    </xf>
    <xf numFmtId="0" fontId="4" fillId="0" borderId="48" xfId="0" applyFont="1" applyBorder="1" applyAlignment="1">
      <alignment wrapText="1"/>
    </xf>
    <xf numFmtId="164" fontId="4" fillId="0" borderId="4" xfId="0" applyNumberFormat="1" applyFont="1" applyBorder="1" applyAlignment="1">
      <alignment horizontal="right"/>
    </xf>
    <xf numFmtId="0" fontId="4" fillId="2" borderId="44" xfId="0" applyFont="1" applyFill="1" applyBorder="1" applyAlignment="1">
      <alignment horizontal="center" vertical="center" wrapText="1"/>
    </xf>
    <xf numFmtId="4" fontId="4" fillId="2" borderId="55" xfId="0" applyNumberFormat="1" applyFont="1" applyFill="1" applyBorder="1" applyAlignment="1">
      <alignment horizontal="right" vertical="center" wrapText="1"/>
    </xf>
    <xf numFmtId="164" fontId="4" fillId="2" borderId="42" xfId="0" applyNumberFormat="1" applyFont="1" applyFill="1" applyBorder="1" applyAlignment="1">
      <alignment horizontal="right"/>
    </xf>
    <xf numFmtId="4" fontId="4" fillId="0" borderId="6" xfId="0" applyNumberFormat="1" applyFont="1" applyBorder="1" applyAlignment="1">
      <alignment horizontal="right" vertical="center" wrapText="1"/>
    </xf>
    <xf numFmtId="0" fontId="4" fillId="2" borderId="42" xfId="0" applyFont="1" applyFill="1" applyBorder="1" applyAlignment="1">
      <alignment horizontal="center" vertical="center" wrapText="1"/>
    </xf>
    <xf numFmtId="4" fontId="4" fillId="2" borderId="50" xfId="0" applyNumberFormat="1" applyFont="1" applyFill="1" applyBorder="1" applyAlignment="1">
      <alignment horizontal="center" vertical="center" wrapText="1"/>
    </xf>
    <xf numFmtId="0" fontId="4" fillId="0" borderId="61" xfId="0" applyFont="1" applyBorder="1" applyAlignment="1">
      <alignment wrapText="1"/>
    </xf>
    <xf numFmtId="10" fontId="4" fillId="0" borderId="11" xfId="3" applyNumberFormat="1" applyFont="1" applyBorder="1" applyAlignment="1">
      <alignment wrapText="1"/>
    </xf>
    <xf numFmtId="0" fontId="4" fillId="0" borderId="61" xfId="0" applyFont="1" applyBorder="1" applyAlignment="1">
      <alignment horizontal="left" vertical="center" wrapText="1"/>
    </xf>
    <xf numFmtId="10" fontId="5" fillId="2" borderId="34" xfId="3" applyNumberFormat="1" applyFont="1" applyFill="1" applyBorder="1" applyAlignment="1">
      <alignment wrapText="1"/>
    </xf>
    <xf numFmtId="10" fontId="4" fillId="0" borderId="10" xfId="3" applyNumberFormat="1" applyFont="1" applyBorder="1" applyAlignment="1">
      <alignment wrapText="1"/>
    </xf>
    <xf numFmtId="0" fontId="4" fillId="0" borderId="46" xfId="0" applyFont="1" applyBorder="1" applyAlignment="1">
      <alignment horizontal="left" vertical="center" wrapText="1"/>
    </xf>
    <xf numFmtId="10" fontId="4" fillId="0" borderId="13" xfId="3" applyNumberFormat="1" applyFont="1" applyBorder="1" applyAlignment="1">
      <alignment wrapText="1"/>
    </xf>
    <xf numFmtId="0" fontId="5" fillId="2" borderId="46" xfId="0" applyFont="1" applyFill="1" applyBorder="1" applyAlignment="1">
      <alignment wrapText="1"/>
    </xf>
    <xf numFmtId="4" fontId="4" fillId="0" borderId="15" xfId="0" applyNumberFormat="1" applyFont="1" applyBorder="1" applyAlignment="1">
      <alignment wrapText="1"/>
    </xf>
    <xf numFmtId="4" fontId="4" fillId="0" borderId="7" xfId="0" applyNumberFormat="1" applyFont="1" applyBorder="1" applyAlignment="1">
      <alignment wrapText="1"/>
    </xf>
    <xf numFmtId="4" fontId="4" fillId="0" borderId="17" xfId="0" applyNumberFormat="1" applyFont="1" applyBorder="1" applyAlignment="1">
      <alignment wrapText="1"/>
    </xf>
    <xf numFmtId="4" fontId="5" fillId="2" borderId="57" xfId="0" applyNumberFormat="1" applyFont="1" applyFill="1" applyBorder="1" applyAlignment="1">
      <alignment wrapText="1"/>
    </xf>
    <xf numFmtId="4" fontId="4" fillId="0" borderId="8" xfId="0" applyNumberFormat="1" applyFont="1" applyBorder="1" applyAlignment="1">
      <alignment wrapText="1"/>
    </xf>
    <xf numFmtId="4" fontId="4" fillId="0" borderId="5" xfId="0" applyNumberFormat="1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4" fontId="5" fillId="2" borderId="33" xfId="0" applyNumberFormat="1" applyFont="1" applyFill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/>
    <xf numFmtId="10" fontId="4" fillId="0" borderId="1" xfId="3" applyNumberFormat="1" applyFont="1" applyBorder="1"/>
    <xf numFmtId="0" fontId="4" fillId="0" borderId="6" xfId="0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right" vertical="center"/>
    </xf>
    <xf numFmtId="0" fontId="4" fillId="34" borderId="20" xfId="0" applyFont="1" applyFill="1" applyBorder="1"/>
    <xf numFmtId="0" fontId="4" fillId="34" borderId="5" xfId="0" applyFont="1" applyFill="1" applyBorder="1" applyAlignment="1">
      <alignment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wrapText="1"/>
    </xf>
    <xf numFmtId="0" fontId="0" fillId="2" borderId="1" xfId="0" applyFill="1" applyBorder="1"/>
    <xf numFmtId="0" fontId="10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/>
    <xf numFmtId="0" fontId="0" fillId="0" borderId="0" xfId="0" applyBorder="1" applyAlignment="1">
      <alignment horizontal="left"/>
    </xf>
    <xf numFmtId="0" fontId="13" fillId="0" borderId="0" xfId="0" applyFont="1" applyFill="1" applyBorder="1"/>
    <xf numFmtId="165" fontId="13" fillId="0" borderId="1" xfId="0" applyNumberFormat="1" applyFont="1" applyFill="1" applyBorder="1"/>
    <xf numFmtId="165" fontId="13" fillId="0" borderId="1" xfId="0" applyNumberFormat="1" applyFont="1" applyBorder="1"/>
    <xf numFmtId="3" fontId="4" fillId="0" borderId="1" xfId="0" applyNumberFormat="1" applyFont="1" applyBorder="1"/>
    <xf numFmtId="4" fontId="4" fillId="0" borderId="0" xfId="0" applyNumberFormat="1" applyFont="1"/>
    <xf numFmtId="0" fontId="11" fillId="0" borderId="1" xfId="0" applyFont="1" applyFill="1" applyBorder="1"/>
    <xf numFmtId="2" fontId="11" fillId="0" borderId="1" xfId="0" applyNumberFormat="1" applyFont="1" applyFill="1" applyBorder="1"/>
    <xf numFmtId="3" fontId="11" fillId="0" borderId="1" xfId="0" applyNumberFormat="1" applyFont="1" applyFill="1" applyBorder="1"/>
    <xf numFmtId="0" fontId="4" fillId="0" borderId="0" xfId="0" applyFont="1" applyFill="1"/>
    <xf numFmtId="0" fontId="11" fillId="0" borderId="0" xfId="0" applyFont="1" applyFill="1"/>
    <xf numFmtId="2" fontId="4" fillId="0" borderId="1" xfId="0" applyNumberFormat="1" applyFont="1" applyFill="1" applyBorder="1"/>
    <xf numFmtId="3" fontId="4" fillId="0" borderId="1" xfId="0" applyNumberFormat="1" applyFont="1" applyFill="1" applyBorder="1"/>
    <xf numFmtId="0" fontId="11" fillId="2" borderId="1" xfId="0" applyFont="1" applyFill="1" applyBorder="1"/>
    <xf numFmtId="3" fontId="4" fillId="2" borderId="1" xfId="0" applyNumberFormat="1" applyFont="1" applyFill="1" applyBorder="1"/>
    <xf numFmtId="0" fontId="11" fillId="0" borderId="6" xfId="0" applyFont="1" applyBorder="1" applyAlignment="1"/>
    <xf numFmtId="4" fontId="4" fillId="0" borderId="1" xfId="3" applyNumberFormat="1" applyFont="1" applyBorder="1"/>
    <xf numFmtId="0" fontId="11" fillId="0" borderId="73" xfId="0" applyFont="1" applyBorder="1"/>
    <xf numFmtId="0" fontId="4" fillId="0" borderId="56" xfId="0" applyFont="1" applyBorder="1"/>
    <xf numFmtId="0" fontId="4" fillId="0" borderId="7" xfId="0" applyFont="1" applyBorder="1"/>
    <xf numFmtId="0" fontId="3" fillId="0" borderId="0" xfId="1"/>
    <xf numFmtId="0" fontId="33" fillId="0" borderId="0" xfId="1" applyFont="1" applyBorder="1" applyAlignment="1">
      <alignment vertical="center" wrapText="1"/>
    </xf>
    <xf numFmtId="0" fontId="37" fillId="0" borderId="0" xfId="1" applyFont="1"/>
    <xf numFmtId="0" fontId="39" fillId="0" borderId="0" xfId="1" applyFont="1"/>
    <xf numFmtId="0" fontId="3" fillId="0" borderId="8" xfId="1" applyBorder="1"/>
    <xf numFmtId="0" fontId="34" fillId="0" borderId="10" xfId="1" applyFont="1" applyBorder="1" applyAlignment="1"/>
    <xf numFmtId="0" fontId="2" fillId="0" borderId="5" xfId="1" applyFont="1" applyBorder="1"/>
    <xf numFmtId="0" fontId="2" fillId="0" borderId="12" xfId="1" applyFont="1" applyBorder="1"/>
    <xf numFmtId="0" fontId="41" fillId="0" borderId="11" xfId="46" applyBorder="1" applyAlignment="1" applyProtection="1"/>
    <xf numFmtId="0" fontId="41" fillId="0" borderId="11" xfId="46" quotePrefix="1" applyBorder="1" applyAlignment="1" applyProtection="1"/>
    <xf numFmtId="0" fontId="42" fillId="0" borderId="0" xfId="0" applyFont="1"/>
    <xf numFmtId="0" fontId="0" fillId="0" borderId="0" xfId="0" applyAlignment="1">
      <alignment wrapText="1"/>
    </xf>
    <xf numFmtId="10" fontId="4" fillId="2" borderId="1" xfId="3" applyNumberFormat="1" applyFont="1" applyFill="1" applyBorder="1"/>
    <xf numFmtId="10" fontId="4" fillId="2" borderId="1" xfId="3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4" fontId="0" fillId="0" borderId="0" xfId="0" applyNumberFormat="1" applyFont="1" applyBorder="1"/>
    <xf numFmtId="0" fontId="0" fillId="0" borderId="0" xfId="0" applyBorder="1"/>
    <xf numFmtId="164" fontId="0" fillId="0" borderId="0" xfId="0" applyNumberFormat="1" applyFont="1" applyBorder="1"/>
    <xf numFmtId="10" fontId="0" fillId="0" borderId="0" xfId="3" applyNumberFormat="1" applyFont="1" applyBorder="1"/>
    <xf numFmtId="0" fontId="0" fillId="0" borderId="0" xfId="0" applyFont="1" applyBorder="1"/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wrapText="1"/>
    </xf>
    <xf numFmtId="4" fontId="4" fillId="0" borderId="27" xfId="0" applyNumberFormat="1" applyFont="1" applyFill="1" applyBorder="1" applyAlignment="1">
      <alignment horizontal="right"/>
    </xf>
    <xf numFmtId="0" fontId="4" fillId="0" borderId="48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4" fillId="0" borderId="47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11" xfId="0" applyFill="1" applyBorder="1"/>
    <xf numFmtId="4" fontId="4" fillId="0" borderId="1" xfId="0" applyNumberFormat="1" applyFont="1" applyFill="1" applyBorder="1" applyAlignment="1">
      <alignment horizontal="right"/>
    </xf>
    <xf numFmtId="4" fontId="4" fillId="0" borderId="11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right"/>
    </xf>
    <xf numFmtId="0" fontId="0" fillId="0" borderId="5" xfId="0" applyFill="1" applyBorder="1"/>
    <xf numFmtId="0" fontId="0" fillId="0" borderId="1" xfId="0" applyFill="1" applyBorder="1"/>
    <xf numFmtId="4" fontId="4" fillId="0" borderId="28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4" fillId="0" borderId="20" xfId="0" applyNumberFormat="1" applyFont="1" applyFill="1" applyBorder="1" applyAlignment="1">
      <alignment horizontal="right"/>
    </xf>
    <xf numFmtId="4" fontId="4" fillId="0" borderId="26" xfId="0" applyNumberFormat="1" applyFont="1" applyFill="1" applyBorder="1" applyAlignment="1">
      <alignment horizontal="right"/>
    </xf>
    <xf numFmtId="0" fontId="0" fillId="0" borderId="20" xfId="0" applyFill="1" applyBorder="1"/>
    <xf numFmtId="0" fontId="0" fillId="0" borderId="4" xfId="0" applyFill="1" applyBorder="1"/>
    <xf numFmtId="0" fontId="0" fillId="0" borderId="27" xfId="0" applyFill="1" applyBorder="1"/>
    <xf numFmtId="0" fontId="4" fillId="0" borderId="6" xfId="0" applyFont="1" applyFill="1" applyBorder="1" applyAlignment="1">
      <alignment horizontal="right" vertical="center" wrapText="1"/>
    </xf>
    <xf numFmtId="10" fontId="4" fillId="0" borderId="1" xfId="3" applyNumberFormat="1" applyFont="1" applyFill="1" applyBorder="1" applyAlignment="1">
      <alignment horizontal="right" vertical="center"/>
    </xf>
    <xf numFmtId="0" fontId="4" fillId="0" borderId="6" xfId="0" applyFont="1" applyFill="1" applyBorder="1"/>
    <xf numFmtId="4" fontId="4" fillId="0" borderId="1" xfId="0" applyNumberFormat="1" applyFont="1" applyFill="1" applyBorder="1" applyAlignment="1">
      <alignment wrapText="1"/>
    </xf>
    <xf numFmtId="10" fontId="4" fillId="0" borderId="1" xfId="3" applyNumberFormat="1" applyFont="1" applyFill="1" applyBorder="1" applyAlignment="1">
      <alignment wrapText="1"/>
    </xf>
    <xf numFmtId="10" fontId="4" fillId="0" borderId="1" xfId="3" applyNumberFormat="1" applyFont="1" applyFill="1" applyBorder="1"/>
    <xf numFmtId="165" fontId="4" fillId="0" borderId="1" xfId="3" applyNumberFormat="1" applyFont="1" applyFill="1" applyBorder="1" applyAlignment="1">
      <alignment horizontal="right" wrapText="1"/>
    </xf>
    <xf numFmtId="0" fontId="4" fillId="0" borderId="1" xfId="0" applyFont="1" applyFill="1" applyBorder="1"/>
    <xf numFmtId="4" fontId="4" fillId="0" borderId="1" xfId="0" applyNumberFormat="1" applyFont="1" applyFill="1" applyBorder="1"/>
    <xf numFmtId="10" fontId="4" fillId="0" borderId="1" xfId="3" applyNumberFormat="1" applyFont="1" applyFill="1" applyBorder="1" applyAlignment="1">
      <alignment horizontal="right"/>
    </xf>
    <xf numFmtId="4" fontId="4" fillId="35" borderId="5" xfId="0" applyNumberFormat="1" applyFont="1" applyFill="1" applyBorder="1" applyAlignment="1">
      <alignment horizontal="right" vertical="center"/>
    </xf>
    <xf numFmtId="4" fontId="4" fillId="35" borderId="1" xfId="0" applyNumberFormat="1" applyFont="1" applyFill="1" applyBorder="1" applyAlignment="1">
      <alignment horizontal="right" vertical="center"/>
    </xf>
    <xf numFmtId="164" fontId="4" fillId="35" borderId="1" xfId="0" applyNumberFormat="1" applyFont="1" applyFill="1" applyBorder="1" applyAlignment="1">
      <alignment horizontal="right" vertical="center"/>
    </xf>
    <xf numFmtId="4" fontId="4" fillId="35" borderId="27" xfId="0" applyNumberFormat="1" applyFont="1" applyFill="1" applyBorder="1" applyAlignment="1">
      <alignment horizontal="right" vertical="center"/>
    </xf>
    <xf numFmtId="4" fontId="7" fillId="35" borderId="5" xfId="0" applyNumberFormat="1" applyFont="1" applyFill="1" applyBorder="1" applyAlignment="1">
      <alignment horizontal="right" vertical="center"/>
    </xf>
    <xf numFmtId="4" fontId="4" fillId="35" borderId="20" xfId="0" applyNumberFormat="1" applyFont="1" applyFill="1" applyBorder="1" applyAlignment="1">
      <alignment horizontal="right" vertical="center"/>
    </xf>
    <xf numFmtId="4" fontId="4" fillId="35" borderId="4" xfId="0" applyNumberFormat="1" applyFont="1" applyFill="1" applyBorder="1" applyAlignment="1">
      <alignment horizontal="right" vertical="center"/>
    </xf>
    <xf numFmtId="164" fontId="4" fillId="35" borderId="4" xfId="0" applyNumberFormat="1" applyFont="1" applyFill="1" applyBorder="1" applyAlignment="1">
      <alignment horizontal="right" vertical="center"/>
    </xf>
    <xf numFmtId="4" fontId="4" fillId="35" borderId="7" xfId="0" applyNumberFormat="1" applyFont="1" applyFill="1" applyBorder="1" applyAlignment="1">
      <alignment horizontal="right" vertical="center"/>
    </xf>
    <xf numFmtId="4" fontId="4" fillId="35" borderId="26" xfId="0" applyNumberFormat="1" applyFont="1" applyFill="1" applyBorder="1" applyAlignment="1">
      <alignment horizontal="right" vertical="center"/>
    </xf>
    <xf numFmtId="4" fontId="4" fillId="35" borderId="2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60" xfId="0" applyFont="1" applyFill="1" applyBorder="1" applyAlignment="1">
      <alignment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4" fontId="4" fillId="2" borderId="62" xfId="0" applyNumberFormat="1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wrapText="1"/>
    </xf>
    <xf numFmtId="0" fontId="8" fillId="0" borderId="0" xfId="0" applyFont="1"/>
    <xf numFmtId="0" fontId="0" fillId="2" borderId="1" xfId="0" applyFont="1" applyFill="1" applyBorder="1"/>
    <xf numFmtId="4" fontId="0" fillId="2" borderId="1" xfId="0" applyNumberFormat="1" applyFont="1" applyFill="1" applyBorder="1"/>
    <xf numFmtId="10" fontId="0" fillId="2" borderId="1" xfId="0" applyNumberFormat="1" applyFont="1" applyFill="1" applyBorder="1"/>
    <xf numFmtId="4" fontId="4" fillId="35" borderId="20" xfId="0" applyNumberFormat="1" applyFont="1" applyFill="1" applyBorder="1" applyAlignment="1">
      <alignment horizontal="center" wrapText="1"/>
    </xf>
    <xf numFmtId="0" fontId="4" fillId="35" borderId="4" xfId="0" applyFont="1" applyFill="1" applyBorder="1" applyAlignment="1">
      <alignment horizontal="center" wrapText="1"/>
    </xf>
    <xf numFmtId="4" fontId="4" fillId="35" borderId="27" xfId="0" applyNumberFormat="1" applyFont="1" applyFill="1" applyBorder="1" applyAlignment="1">
      <alignment horizontal="right"/>
    </xf>
    <xf numFmtId="4" fontId="4" fillId="36" borderId="4" xfId="0" applyNumberFormat="1" applyFont="1" applyFill="1" applyBorder="1" applyAlignment="1">
      <alignment horizontal="right" vertical="center"/>
    </xf>
    <xf numFmtId="4" fontId="4" fillId="35" borderId="72" xfId="0" applyNumberFormat="1" applyFont="1" applyFill="1" applyBorder="1" applyAlignment="1">
      <alignment horizontal="right"/>
    </xf>
    <xf numFmtId="4" fontId="4" fillId="35" borderId="1" xfId="0" applyNumberFormat="1" applyFont="1" applyFill="1" applyBorder="1" applyAlignment="1">
      <alignment horizontal="right"/>
    </xf>
    <xf numFmtId="164" fontId="4" fillId="35" borderId="1" xfId="0" applyNumberFormat="1" applyFont="1" applyFill="1" applyBorder="1" applyAlignment="1">
      <alignment horizontal="right"/>
    </xf>
    <xf numFmtId="4" fontId="4" fillId="35" borderId="11" xfId="0" applyNumberFormat="1" applyFont="1" applyFill="1" applyBorder="1" applyAlignment="1">
      <alignment horizontal="right"/>
    </xf>
    <xf numFmtId="4" fontId="4" fillId="35" borderId="28" xfId="0" applyNumberFormat="1" applyFont="1" applyFill="1" applyBorder="1" applyAlignment="1">
      <alignment horizontal="right"/>
    </xf>
    <xf numFmtId="4" fontId="4" fillId="35" borderId="4" xfId="0" applyNumberFormat="1" applyFont="1" applyFill="1" applyBorder="1" applyAlignment="1">
      <alignment horizontal="right"/>
    </xf>
    <xf numFmtId="164" fontId="4" fillId="35" borderId="4" xfId="0" applyNumberFormat="1" applyFont="1" applyFill="1" applyBorder="1" applyAlignment="1">
      <alignment horizontal="right"/>
    </xf>
    <xf numFmtId="4" fontId="4" fillId="35" borderId="20" xfId="0" applyNumberFormat="1" applyFont="1" applyFill="1" applyBorder="1" applyAlignment="1">
      <alignment horizontal="right"/>
    </xf>
    <xf numFmtId="4" fontId="4" fillId="36" borderId="20" xfId="0" applyNumberFormat="1" applyFont="1" applyFill="1" applyBorder="1" applyAlignment="1">
      <alignment horizontal="right" vertical="center"/>
    </xf>
    <xf numFmtId="164" fontId="4" fillId="36" borderId="4" xfId="0" applyNumberFormat="1" applyFont="1" applyFill="1" applyBorder="1" applyAlignment="1">
      <alignment horizontal="right" vertical="center"/>
    </xf>
    <xf numFmtId="4" fontId="4" fillId="36" borderId="27" xfId="0" applyNumberFormat="1" applyFont="1" applyFill="1" applyBorder="1" applyAlignment="1">
      <alignment horizontal="right" vertical="center"/>
    </xf>
    <xf numFmtId="4" fontId="4" fillId="36" borderId="5" xfId="0" applyNumberFormat="1" applyFont="1" applyFill="1" applyBorder="1" applyAlignment="1">
      <alignment horizontal="right" vertical="center"/>
    </xf>
    <xf numFmtId="4" fontId="4" fillId="36" borderId="1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/>
    <xf numFmtId="0" fontId="4" fillId="2" borderId="73" xfId="0" applyFont="1" applyFill="1" applyBorder="1"/>
    <xf numFmtId="0" fontId="4" fillId="2" borderId="28" xfId="0" applyFont="1" applyFill="1" applyBorder="1"/>
    <xf numFmtId="0" fontId="4" fillId="2" borderId="7" xfId="0" applyFont="1" applyFill="1" applyBorder="1"/>
    <xf numFmtId="4" fontId="4" fillId="35" borderId="5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 vertical="center"/>
    </xf>
    <xf numFmtId="10" fontId="4" fillId="2" borderId="1" xfId="3" applyNumberFormat="1" applyFont="1" applyFill="1" applyBorder="1" applyAlignment="1">
      <alignment horizontal="right" vertical="center" wrapText="1"/>
    </xf>
    <xf numFmtId="0" fontId="4" fillId="2" borderId="6" xfId="0" applyFont="1" applyFill="1" applyBorder="1"/>
    <xf numFmtId="10" fontId="4" fillId="0" borderId="1" xfId="3" applyNumberFormat="1" applyFont="1" applyBorder="1" applyAlignment="1">
      <alignment horizontal="right"/>
    </xf>
    <xf numFmtId="0" fontId="41" fillId="0" borderId="13" xfId="46" quotePrefix="1" applyBorder="1" applyAlignment="1" applyProtection="1"/>
    <xf numFmtId="0" fontId="1" fillId="0" borderId="0" xfId="1" applyFont="1"/>
    <xf numFmtId="0" fontId="43" fillId="0" borderId="0" xfId="1" applyFont="1"/>
    <xf numFmtId="0" fontId="46" fillId="0" borderId="0" xfId="0" applyFont="1" applyAlignment="1">
      <alignment horizontal="justify"/>
    </xf>
    <xf numFmtId="0" fontId="47" fillId="0" borderId="0" xfId="1" applyFont="1"/>
    <xf numFmtId="0" fontId="2" fillId="0" borderId="0" xfId="47"/>
    <xf numFmtId="0" fontId="11" fillId="0" borderId="0" xfId="47" applyFont="1"/>
    <xf numFmtId="0" fontId="2" fillId="0" borderId="0" xfId="47" applyFont="1"/>
    <xf numFmtId="0" fontId="11" fillId="38" borderId="21" xfId="47" applyFont="1" applyFill="1" applyBorder="1" applyAlignment="1">
      <alignment horizontal="center" vertical="center" wrapText="1"/>
    </xf>
    <xf numFmtId="2" fontId="11" fillId="38" borderId="21" xfId="47" applyNumberFormat="1" applyFont="1" applyFill="1" applyBorder="1" applyAlignment="1">
      <alignment horizontal="center" vertical="center"/>
    </xf>
    <xf numFmtId="0" fontId="49" fillId="39" borderId="3" xfId="47" applyFont="1" applyFill="1" applyBorder="1" applyAlignment="1">
      <alignment horizontal="center" vertical="center"/>
    </xf>
    <xf numFmtId="0" fontId="49" fillId="36" borderId="3" xfId="47" applyFont="1" applyFill="1" applyBorder="1" applyAlignment="1">
      <alignment horizontal="center" vertical="center"/>
    </xf>
    <xf numFmtId="0" fontId="49" fillId="40" borderId="3" xfId="47" applyFont="1" applyFill="1" applyBorder="1" applyAlignment="1">
      <alignment horizontal="center" vertical="center"/>
    </xf>
    <xf numFmtId="0" fontId="49" fillId="0" borderId="7" xfId="47" applyFont="1" applyBorder="1" applyAlignment="1">
      <alignment horizontal="center" vertical="center" wrapText="1"/>
    </xf>
    <xf numFmtId="0" fontId="11" fillId="38" borderId="1" xfId="47" applyFont="1" applyFill="1" applyBorder="1" applyAlignment="1">
      <alignment horizontal="center" vertical="center"/>
    </xf>
    <xf numFmtId="0" fontId="49" fillId="38" borderId="1" xfId="47" applyFont="1" applyFill="1" applyBorder="1" applyAlignment="1">
      <alignment horizontal="center" vertical="center"/>
    </xf>
    <xf numFmtId="166" fontId="49" fillId="0" borderId="1" xfId="47" applyNumberFormat="1" applyFont="1" applyFill="1" applyBorder="1" applyAlignment="1">
      <alignment vertical="center"/>
    </xf>
    <xf numFmtId="0" fontId="49" fillId="0" borderId="7" xfId="47" applyFont="1" applyBorder="1" applyAlignment="1">
      <alignment horizontal="center" vertical="center"/>
    </xf>
    <xf numFmtId="0" fontId="11" fillId="0" borderId="1" xfId="47" applyFont="1" applyFill="1" applyBorder="1" applyAlignment="1">
      <alignment horizontal="center" vertical="center"/>
    </xf>
    <xf numFmtId="166" fontId="11" fillId="0" borderId="1" xfId="47" applyNumberFormat="1" applyFont="1" applyFill="1" applyBorder="1" applyAlignment="1">
      <alignment vertical="center"/>
    </xf>
    <xf numFmtId="0" fontId="10" fillId="0" borderId="1" xfId="47" applyFont="1" applyFill="1" applyBorder="1" applyAlignment="1">
      <alignment horizontal="center" vertical="center"/>
    </xf>
    <xf numFmtId="0" fontId="8" fillId="0" borderId="1" xfId="47" applyFont="1" applyFill="1" applyBorder="1" applyAlignment="1">
      <alignment horizontal="center" vertical="center"/>
    </xf>
    <xf numFmtId="0" fontId="49" fillId="0" borderId="1" xfId="47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/>
    </xf>
    <xf numFmtId="166" fontId="49" fillId="36" borderId="1" xfId="47" applyNumberFormat="1" applyFont="1" applyFill="1" applyBorder="1" applyAlignment="1">
      <alignment vertical="center"/>
    </xf>
    <xf numFmtId="0" fontId="11" fillId="38" borderId="1" xfId="47" applyFont="1" applyFill="1" applyBorder="1"/>
    <xf numFmtId="0" fontId="2" fillId="0" borderId="0" xfId="47" applyFont="1" applyFill="1"/>
    <xf numFmtId="0" fontId="2" fillId="0" borderId="0" xfId="47" applyFont="1" applyBorder="1" applyAlignment="1">
      <alignment horizontal="right"/>
    </xf>
    <xf numFmtId="0" fontId="2" fillId="0" borderId="0" xfId="47" applyFont="1" applyBorder="1" applyAlignment="1">
      <alignment horizontal="center" wrapText="1"/>
    </xf>
    <xf numFmtId="0" fontId="2" fillId="0" borderId="0" xfId="47" applyFont="1" applyBorder="1" applyAlignment="1">
      <alignment horizontal="center"/>
    </xf>
    <xf numFmtId="4" fontId="8" fillId="38" borderId="1" xfId="47" applyNumberFormat="1" applyFont="1" applyFill="1" applyBorder="1" applyAlignment="1">
      <alignment horizontal="center" vertical="center"/>
    </xf>
    <xf numFmtId="4" fontId="8" fillId="40" borderId="1" xfId="47" applyNumberFormat="1" applyFont="1" applyFill="1" applyBorder="1" applyAlignment="1">
      <alignment horizontal="center" vertical="center"/>
    </xf>
    <xf numFmtId="0" fontId="48" fillId="0" borderId="73" xfId="48" applyFont="1" applyBorder="1" applyAlignment="1"/>
    <xf numFmtId="0" fontId="2" fillId="0" borderId="0" xfId="47" applyFont="1" applyFill="1" applyBorder="1"/>
    <xf numFmtId="0" fontId="11" fillId="0" borderId="0" xfId="47" applyFont="1" applyFill="1" applyBorder="1"/>
    <xf numFmtId="0" fontId="8" fillId="43" borderId="1" xfId="47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" xfId="47" applyFont="1" applyBorder="1" applyAlignment="1">
      <alignment horizontal="center" vertical="top" wrapText="1"/>
    </xf>
    <xf numFmtId="167" fontId="13" fillId="0" borderId="1" xfId="47" applyNumberFormat="1" applyFont="1" applyFill="1" applyBorder="1" applyAlignment="1">
      <alignment horizontal="center" wrapText="1"/>
    </xf>
    <xf numFmtId="168" fontId="8" fillId="0" borderId="1" xfId="47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65" fontId="13" fillId="0" borderId="1" xfId="47" applyNumberFormat="1" applyFont="1" applyBorder="1" applyAlignment="1">
      <alignment horizontal="center" wrapText="1"/>
    </xf>
    <xf numFmtId="168" fontId="2" fillId="0" borderId="1" xfId="47" applyNumberFormat="1" applyFont="1" applyBorder="1" applyAlignment="1">
      <alignment horizontal="center"/>
    </xf>
    <xf numFmtId="0" fontId="2" fillId="0" borderId="0" xfId="48" applyFont="1" applyFill="1" applyBorder="1" applyAlignment="1">
      <alignment horizontal="justify" wrapText="1"/>
    </xf>
    <xf numFmtId="0" fontId="0" fillId="0" borderId="0" xfId="0" applyFill="1" applyBorder="1"/>
    <xf numFmtId="2" fontId="2" fillId="0" borderId="1" xfId="47" applyNumberFormat="1" applyFont="1" applyBorder="1" applyAlignment="1">
      <alignment horizontal="center"/>
    </xf>
    <xf numFmtId="0" fontId="2" fillId="0" borderId="1" xfId="47" applyFont="1" applyBorder="1" applyAlignment="1">
      <alignment horizontal="center" vertical="center"/>
    </xf>
    <xf numFmtId="0" fontId="13" fillId="0" borderId="1" xfId="47" applyFont="1" applyBorder="1" applyAlignment="1">
      <alignment horizontal="center"/>
    </xf>
    <xf numFmtId="168" fontId="0" fillId="0" borderId="1" xfId="47" applyNumberFormat="1" applyFont="1" applyBorder="1" applyAlignment="1">
      <alignment horizontal="center"/>
    </xf>
    <xf numFmtId="165" fontId="13" fillId="0" borderId="1" xfId="47" applyNumberFormat="1" applyFont="1" applyFill="1" applyBorder="1" applyAlignment="1">
      <alignment horizontal="center" wrapText="1"/>
    </xf>
    <xf numFmtId="0" fontId="2" fillId="0" borderId="1" xfId="47" applyFont="1" applyBorder="1" applyAlignment="1">
      <alignment horizontal="center"/>
    </xf>
    <xf numFmtId="0" fontId="2" fillId="0" borderId="0" xfId="48" applyFont="1" applyFill="1" applyBorder="1" applyAlignment="1">
      <alignment horizontal="center" wrapText="1"/>
    </xf>
    <xf numFmtId="0" fontId="11" fillId="0" borderId="0" xfId="48" applyFont="1" applyFill="1" applyBorder="1" applyAlignment="1">
      <alignment horizontal="center" wrapText="1"/>
    </xf>
    <xf numFmtId="0" fontId="11" fillId="0" borderId="0" xfId="47" applyFont="1" applyBorder="1"/>
    <xf numFmtId="0" fontId="2" fillId="0" borderId="0" xfId="47" applyFont="1" applyBorder="1"/>
    <xf numFmtId="166" fontId="54" fillId="0" borderId="1" xfId="47" applyNumberFormat="1" applyFont="1" applyBorder="1" applyAlignment="1">
      <alignment horizontal="center" vertical="center" wrapText="1"/>
    </xf>
    <xf numFmtId="166" fontId="55" fillId="0" borderId="1" xfId="47" applyNumberFormat="1" applyFont="1" applyBorder="1" applyAlignment="1">
      <alignment horizontal="center" vertical="top" wrapText="1"/>
    </xf>
    <xf numFmtId="166" fontId="52" fillId="0" borderId="1" xfId="47" applyNumberFormat="1" applyFont="1" applyBorder="1" applyAlignment="1">
      <alignment horizontal="center" vertical="center" wrapText="1"/>
    </xf>
    <xf numFmtId="166" fontId="55" fillId="0" borderId="1" xfId="47" applyNumberFormat="1" applyFont="1" applyBorder="1" applyAlignment="1">
      <alignment horizontal="center" vertical="center" wrapText="1"/>
    </xf>
    <xf numFmtId="166" fontId="54" fillId="0" borderId="1" xfId="47" applyNumberFormat="1" applyFont="1" applyFill="1" applyBorder="1" applyAlignment="1">
      <alignment horizontal="center" vertical="center" wrapText="1"/>
    </xf>
    <xf numFmtId="0" fontId="26" fillId="0" borderId="0" xfId="47" applyFont="1"/>
    <xf numFmtId="0" fontId="61" fillId="0" borderId="0" xfId="47" applyFont="1"/>
    <xf numFmtId="0" fontId="13" fillId="0" borderId="30" xfId="48" applyFont="1" applyBorder="1" applyAlignment="1">
      <alignment horizontal="justify" vertical="top" wrapText="1"/>
    </xf>
    <xf numFmtId="0" fontId="13" fillId="0" borderId="75" xfId="48" applyFont="1" applyBorder="1" applyAlignment="1">
      <alignment horizontal="center" vertical="top" wrapText="1"/>
    </xf>
    <xf numFmtId="4" fontId="13" fillId="0" borderId="75" xfId="48" applyNumberFormat="1" applyFont="1" applyBorder="1" applyAlignment="1">
      <alignment horizontal="center" vertical="top" wrapText="1"/>
    </xf>
    <xf numFmtId="0" fontId="2" fillId="0" borderId="0" xfId="47" applyFill="1" applyBorder="1"/>
    <xf numFmtId="0" fontId="48" fillId="46" borderId="4" xfId="47" applyFont="1" applyFill="1" applyBorder="1" applyAlignment="1">
      <alignment horizontal="center" vertical="center" wrapText="1"/>
    </xf>
    <xf numFmtId="0" fontId="2" fillId="0" borderId="0" xfId="47" applyBorder="1"/>
    <xf numFmtId="0" fontId="11" fillId="0" borderId="1" xfId="47" applyFont="1" applyBorder="1" applyAlignment="1">
      <alignment horizontal="center" vertical="center"/>
    </xf>
    <xf numFmtId="0" fontId="4" fillId="0" borderId="1" xfId="47" applyFont="1" applyBorder="1" applyAlignment="1">
      <alignment horizontal="center" vertical="center"/>
    </xf>
    <xf numFmtId="4" fontId="49" fillId="0" borderId="1" xfId="47" applyNumberFormat="1" applyFont="1" applyFill="1" applyBorder="1" applyAlignment="1">
      <alignment horizontal="center" vertical="center"/>
    </xf>
    <xf numFmtId="169" fontId="49" fillId="0" borderId="1" xfId="47" applyNumberFormat="1" applyFont="1" applyFill="1" applyBorder="1" applyAlignment="1">
      <alignment horizontal="center" vertical="center"/>
    </xf>
    <xf numFmtId="166" fontId="49" fillId="0" borderId="1" xfId="47" applyNumberFormat="1" applyFont="1" applyFill="1" applyBorder="1" applyAlignment="1">
      <alignment horizontal="center" vertical="center"/>
    </xf>
    <xf numFmtId="171" fontId="49" fillId="0" borderId="1" xfId="47" applyNumberFormat="1" applyFont="1" applyFill="1" applyBorder="1" applyAlignment="1">
      <alignment horizontal="center" vertical="center"/>
    </xf>
    <xf numFmtId="166" fontId="49" fillId="38" borderId="1" xfId="47" applyNumberFormat="1" applyFont="1" applyFill="1" applyBorder="1" applyAlignment="1">
      <alignment vertical="center"/>
    </xf>
    <xf numFmtId="0" fontId="2" fillId="0" borderId="0" xfId="47" applyFill="1"/>
    <xf numFmtId="0" fontId="49" fillId="0" borderId="0" xfId="47" applyFont="1" applyFill="1" applyBorder="1" applyAlignment="1">
      <alignment horizontal="center" vertical="center"/>
    </xf>
    <xf numFmtId="0" fontId="2" fillId="0" borderId="0" xfId="47" applyBorder="1" applyAlignment="1">
      <alignment horizontal="right"/>
    </xf>
    <xf numFmtId="0" fontId="2" fillId="0" borderId="0" xfId="47" applyFill="1" applyBorder="1" applyAlignment="1">
      <alignment horizontal="center"/>
    </xf>
    <xf numFmtId="0" fontId="2" fillId="0" borderId="0" xfId="47" applyFill="1" applyBorder="1" applyAlignment="1"/>
    <xf numFmtId="0" fontId="2" fillId="0" borderId="0" xfId="47" applyBorder="1" applyAlignment="1">
      <alignment horizontal="center"/>
    </xf>
    <xf numFmtId="0" fontId="13" fillId="0" borderId="0" xfId="47" applyFont="1" applyBorder="1" applyAlignment="1">
      <alignment horizontal="center"/>
    </xf>
    <xf numFmtId="0" fontId="67" fillId="44" borderId="76" xfId="47" applyFont="1" applyFill="1" applyBorder="1" applyAlignment="1">
      <alignment horizontal="justify" vertical="center" wrapText="1"/>
    </xf>
    <xf numFmtId="0" fontId="67" fillId="44" borderId="76" xfId="47" applyFont="1" applyFill="1" applyBorder="1" applyAlignment="1">
      <alignment horizontal="center" vertical="center" wrapText="1"/>
    </xf>
    <xf numFmtId="0" fontId="67" fillId="44" borderId="76" xfId="47" applyFont="1" applyFill="1" applyBorder="1" applyAlignment="1">
      <alignment horizontal="center" vertical="top" wrapText="1"/>
    </xf>
    <xf numFmtId="166" fontId="68" fillId="49" borderId="1" xfId="47" applyNumberFormat="1" applyFont="1" applyFill="1" applyBorder="1" applyAlignment="1">
      <alignment horizontal="center" vertical="center" wrapText="1"/>
    </xf>
    <xf numFmtId="166" fontId="68" fillId="0" borderId="1" xfId="47" applyNumberFormat="1" applyFont="1" applyBorder="1" applyAlignment="1">
      <alignment horizontal="center" vertical="center" wrapText="1"/>
    </xf>
    <xf numFmtId="0" fontId="69" fillId="0" borderId="0" xfId="1" applyFont="1"/>
    <xf numFmtId="0" fontId="44" fillId="0" borderId="0" xfId="1" applyFont="1" applyAlignment="1">
      <alignment horizontal="left"/>
    </xf>
    <xf numFmtId="0" fontId="70" fillId="0" borderId="0" xfId="1" applyFont="1"/>
    <xf numFmtId="166" fontId="8" fillId="0" borderId="1" xfId="47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71" fillId="0" borderId="1" xfId="0" applyFont="1" applyBorder="1" applyAlignment="1">
      <alignment horizontal="left" wrapText="1"/>
    </xf>
    <xf numFmtId="0" fontId="50" fillId="38" borderId="1" xfId="0" applyFont="1" applyFill="1" applyBorder="1" applyAlignment="1">
      <alignment horizontal="center" vertical="center" wrapText="1"/>
    </xf>
    <xf numFmtId="0" fontId="8" fillId="38" borderId="6" xfId="47" applyFont="1" applyFill="1" applyBorder="1" applyAlignment="1">
      <alignment horizontal="center"/>
    </xf>
    <xf numFmtId="0" fontId="49" fillId="0" borderId="56" xfId="47" applyFont="1" applyBorder="1" applyAlignment="1">
      <alignment horizontal="center" vertical="center" wrapText="1"/>
    </xf>
    <xf numFmtId="0" fontId="8" fillId="38" borderId="6" xfId="47" applyFont="1" applyFill="1" applyBorder="1" applyAlignment="1">
      <alignment horizontal="center" vertical="center"/>
    </xf>
    <xf numFmtId="0" fontId="8" fillId="38" borderId="37" xfId="47" applyFont="1" applyFill="1" applyBorder="1" applyAlignment="1">
      <alignment horizontal="center" vertical="center"/>
    </xf>
    <xf numFmtId="4" fontId="46" fillId="38" borderId="1" xfId="0" applyNumberFormat="1" applyFont="1" applyFill="1" applyBorder="1" applyAlignment="1">
      <alignment horizontal="center" vertical="center" wrapText="1"/>
    </xf>
    <xf numFmtId="0" fontId="2" fillId="38" borderId="0" xfId="47" applyFont="1" applyFill="1"/>
    <xf numFmtId="0" fontId="2" fillId="38" borderId="1" xfId="0" applyFont="1" applyFill="1" applyBorder="1" applyAlignment="1">
      <alignment horizontal="center" wrapText="1"/>
    </xf>
    <xf numFmtId="43" fontId="11" fillId="0" borderId="6" xfId="47" applyNumberFormat="1" applyFont="1" applyFill="1" applyBorder="1" applyAlignment="1">
      <alignment horizontal="center" vertical="center"/>
    </xf>
    <xf numFmtId="0" fontId="11" fillId="38" borderId="4" xfId="47" applyFont="1" applyFill="1" applyBorder="1"/>
    <xf numFmtId="166" fontId="49" fillId="41" borderId="1" xfId="47" applyNumberFormat="1" applyFont="1" applyFill="1" applyBorder="1" applyAlignment="1">
      <alignment vertical="center"/>
    </xf>
    <xf numFmtId="166" fontId="49" fillId="40" borderId="1" xfId="47" applyNumberFormat="1" applyFont="1" applyFill="1" applyBorder="1" applyAlignment="1">
      <alignment vertical="center"/>
    </xf>
    <xf numFmtId="0" fontId="49" fillId="0" borderId="6" xfId="47" applyFont="1" applyFill="1" applyBorder="1" applyAlignment="1">
      <alignment horizontal="center" vertical="center"/>
    </xf>
    <xf numFmtId="0" fontId="51" fillId="0" borderId="0" xfId="0" applyFont="1" applyBorder="1" applyAlignment="1">
      <alignment horizontal="center" wrapText="1"/>
    </xf>
    <xf numFmtId="0" fontId="65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9" fillId="35" borderId="1" xfId="47" applyFont="1" applyFill="1" applyBorder="1" applyAlignment="1">
      <alignment horizontal="center" vertical="center"/>
    </xf>
    <xf numFmtId="0" fontId="49" fillId="40" borderId="7" xfId="47" applyFont="1" applyFill="1" applyBorder="1" applyAlignment="1">
      <alignment horizontal="center" vertical="center" wrapText="1"/>
    </xf>
    <xf numFmtId="0" fontId="49" fillId="51" borderId="7" xfId="47" applyFont="1" applyFill="1" applyBorder="1" applyAlignment="1">
      <alignment horizontal="center" vertical="center" wrapText="1"/>
    </xf>
    <xf numFmtId="0" fontId="8" fillId="38" borderId="1" xfId="47" applyFont="1" applyFill="1" applyBorder="1" applyAlignment="1">
      <alignment horizontal="center" vertical="center"/>
    </xf>
    <xf numFmtId="0" fontId="2" fillId="38" borderId="1" xfId="47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166" fontId="8" fillId="38" borderId="1" xfId="47" applyNumberFormat="1" applyFont="1" applyFill="1" applyBorder="1" applyAlignment="1">
      <alignment horizontal="center" vertical="center"/>
    </xf>
    <xf numFmtId="0" fontId="53" fillId="38" borderId="1" xfId="0" applyFont="1" applyFill="1" applyBorder="1" applyAlignment="1">
      <alignment horizontal="center" vertical="center" wrapText="1"/>
    </xf>
    <xf numFmtId="0" fontId="0" fillId="35" borderId="1" xfId="47" applyFont="1" applyFill="1" applyBorder="1" applyAlignment="1">
      <alignment horizontal="center" vertical="center"/>
    </xf>
    <xf numFmtId="43" fontId="11" fillId="38" borderId="6" xfId="47" applyNumberFormat="1" applyFont="1" applyFill="1" applyBorder="1" applyAlignment="1">
      <alignment horizontal="center" vertical="center"/>
    </xf>
    <xf numFmtId="0" fontId="51" fillId="3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2" fillId="47" borderId="6" xfId="47" applyFont="1" applyFill="1" applyBorder="1" applyAlignment="1">
      <alignment vertical="center"/>
    </xf>
    <xf numFmtId="0" fontId="2" fillId="47" borderId="1" xfId="47" applyFont="1" applyFill="1" applyBorder="1" applyAlignment="1">
      <alignment horizontal="center" vertical="center"/>
    </xf>
    <xf numFmtId="0" fontId="10" fillId="0" borderId="1" xfId="47" applyFont="1" applyBorder="1" applyAlignment="1">
      <alignment horizontal="center" vertical="center" wrapText="1"/>
    </xf>
    <xf numFmtId="0" fontId="64" fillId="52" borderId="0" xfId="48" applyFont="1" applyFill="1" applyAlignment="1">
      <alignment horizontal="left" wrapText="1"/>
    </xf>
    <xf numFmtId="0" fontId="0" fillId="38" borderId="6" xfId="47" applyFont="1" applyFill="1" applyBorder="1" applyAlignment="1">
      <alignment horizontal="center" vertical="center" wrapText="1"/>
    </xf>
    <xf numFmtId="0" fontId="2" fillId="38" borderId="6" xfId="47" applyFont="1" applyFill="1" applyBorder="1" applyAlignment="1">
      <alignment vertical="center"/>
    </xf>
    <xf numFmtId="0" fontId="2" fillId="38" borderId="1" xfId="47" applyFont="1" applyFill="1" applyBorder="1" applyAlignment="1">
      <alignment horizontal="center"/>
    </xf>
    <xf numFmtId="0" fontId="13" fillId="38" borderId="6" xfId="47" applyFont="1" applyFill="1" applyBorder="1" applyAlignment="1">
      <alignment horizontal="center" vertical="center"/>
    </xf>
    <xf numFmtId="0" fontId="49" fillId="0" borderId="56" xfId="47" applyFont="1" applyFill="1" applyBorder="1" applyAlignment="1">
      <alignment horizontal="center" vertical="center" wrapText="1"/>
    </xf>
    <xf numFmtId="0" fontId="73" fillId="38" borderId="4" xfId="47" applyFont="1" applyFill="1" applyBorder="1"/>
    <xf numFmtId="0" fontId="72" fillId="38" borderId="4" xfId="47" applyFont="1" applyFill="1" applyBorder="1"/>
    <xf numFmtId="0" fontId="72" fillId="38" borderId="4" xfId="47" applyFont="1" applyFill="1" applyBorder="1" applyAlignment="1">
      <alignment horizontal="center" vertical="center"/>
    </xf>
    <xf numFmtId="0" fontId="49" fillId="38" borderId="7" xfId="47" applyFont="1" applyFill="1" applyBorder="1" applyAlignment="1">
      <alignment horizontal="center" vertical="center" wrapText="1"/>
    </xf>
    <xf numFmtId="0" fontId="13" fillId="38" borderId="1" xfId="47" applyFont="1" applyFill="1" applyBorder="1" applyAlignment="1">
      <alignment horizontal="center" vertical="center"/>
    </xf>
    <xf numFmtId="43" fontId="73" fillId="38" borderId="6" xfId="47" applyNumberFormat="1" applyFont="1" applyFill="1" applyBorder="1" applyAlignment="1">
      <alignment horizontal="center" vertical="center"/>
    </xf>
    <xf numFmtId="0" fontId="8" fillId="0" borderId="0" xfId="47" applyFont="1" applyFill="1" applyBorder="1" applyAlignment="1">
      <alignment horizontal="right" vertical="center" wrapText="1"/>
    </xf>
    <xf numFmtId="166" fontId="49" fillId="0" borderId="0" xfId="47" applyNumberFormat="1" applyFont="1" applyFill="1" applyBorder="1" applyAlignment="1">
      <alignment vertical="center"/>
    </xf>
    <xf numFmtId="0" fontId="74" fillId="38" borderId="0" xfId="47" applyFont="1" applyFill="1"/>
    <xf numFmtId="0" fontId="0" fillId="0" borderId="6" xfId="47" applyFont="1" applyFill="1" applyBorder="1" applyAlignment="1">
      <alignment horizontal="center" vertical="center"/>
    </xf>
    <xf numFmtId="0" fontId="0" fillId="0" borderId="1" xfId="47" applyFont="1" applyFill="1" applyBorder="1" applyAlignment="1">
      <alignment horizontal="center" vertical="center"/>
    </xf>
    <xf numFmtId="0" fontId="64" fillId="52" borderId="1" xfId="48" applyFont="1" applyFill="1" applyBorder="1" applyAlignment="1">
      <alignment horizontal="left" wrapText="1"/>
    </xf>
    <xf numFmtId="0" fontId="49" fillId="0" borderId="3" xfId="47" applyFont="1" applyFill="1" applyBorder="1" applyAlignment="1">
      <alignment horizontal="center" vertical="center"/>
    </xf>
    <xf numFmtId="0" fontId="49" fillId="49" borderId="1" xfId="47" applyFont="1" applyFill="1" applyBorder="1" applyAlignment="1">
      <alignment horizontal="center" vertical="center"/>
    </xf>
    <xf numFmtId="0" fontId="49" fillId="0" borderId="3" xfId="47" applyFont="1" applyFill="1" applyBorder="1" applyAlignment="1">
      <alignment horizontal="center" wrapText="1"/>
    </xf>
    <xf numFmtId="0" fontId="74" fillId="38" borderId="1" xfId="0" applyFont="1" applyFill="1" applyBorder="1" applyAlignment="1">
      <alignment horizontal="left" wrapText="1"/>
    </xf>
    <xf numFmtId="0" fontId="0" fillId="38" borderId="1" xfId="0" applyFill="1" applyBorder="1" applyAlignment="1">
      <alignment horizontal="left" wrapText="1"/>
    </xf>
    <xf numFmtId="0" fontId="49" fillId="38" borderId="7" xfId="47" applyFont="1" applyFill="1" applyBorder="1" applyAlignment="1">
      <alignment horizontal="center" vertical="center"/>
    </xf>
    <xf numFmtId="0" fontId="49" fillId="0" borderId="7" xfId="47" applyFont="1" applyFill="1" applyBorder="1" applyAlignment="1">
      <alignment horizontal="center" vertical="center"/>
    </xf>
    <xf numFmtId="0" fontId="11" fillId="47" borderId="1" xfId="47" applyFont="1" applyFill="1" applyBorder="1" applyAlignment="1">
      <alignment horizontal="center" vertical="center"/>
    </xf>
    <xf numFmtId="0" fontId="73" fillId="38" borderId="4" xfId="47" applyFont="1" applyFill="1" applyBorder="1" applyAlignment="1">
      <alignment horizontal="center" vertical="center"/>
    </xf>
    <xf numFmtId="4" fontId="8" fillId="41" borderId="1" xfId="47" applyNumberFormat="1" applyFont="1" applyFill="1" applyBorder="1" applyAlignment="1">
      <alignment horizontal="center" vertical="center"/>
    </xf>
    <xf numFmtId="4" fontId="8" fillId="35" borderId="1" xfId="47" applyNumberFormat="1" applyFont="1" applyFill="1" applyBorder="1" applyAlignment="1">
      <alignment horizontal="center" vertical="center"/>
    </xf>
    <xf numFmtId="166" fontId="49" fillId="0" borderId="0" xfId="47" applyNumberFormat="1" applyFont="1" applyFill="1" applyBorder="1" applyAlignment="1">
      <alignment horizontal="center" vertical="center"/>
    </xf>
    <xf numFmtId="0" fontId="8" fillId="0" borderId="38" xfId="47" applyFont="1" applyFill="1" applyBorder="1" applyAlignment="1">
      <alignment horizontal="right"/>
    </xf>
    <xf numFmtId="0" fontId="2" fillId="0" borderId="0" xfId="47" applyFont="1" applyFill="1" applyBorder="1" applyAlignment="1">
      <alignment horizontal="center" wrapText="1"/>
    </xf>
    <xf numFmtId="0" fontId="8" fillId="2" borderId="1" xfId="47" applyFont="1" applyFill="1" applyBorder="1" applyAlignment="1">
      <alignment horizontal="right"/>
    </xf>
    <xf numFmtId="0" fontId="8" fillId="0" borderId="26" xfId="47" applyFont="1" applyFill="1" applyBorder="1" applyAlignment="1">
      <alignment horizontal="right"/>
    </xf>
    <xf numFmtId="0" fontId="8" fillId="0" borderId="73" xfId="47" applyFont="1" applyFill="1" applyBorder="1" applyAlignment="1">
      <alignment horizontal="right" vertical="center" wrapText="1"/>
    </xf>
    <xf numFmtId="166" fontId="49" fillId="0" borderId="73" xfId="47" applyNumberFormat="1" applyFont="1" applyFill="1" applyBorder="1" applyAlignment="1">
      <alignment vertical="center"/>
    </xf>
    <xf numFmtId="0" fontId="55" fillId="0" borderId="1" xfId="47" applyFont="1" applyBorder="1" applyAlignment="1">
      <alignment horizontal="justify" vertical="top" wrapText="1"/>
    </xf>
    <xf numFmtId="0" fontId="66" fillId="0" borderId="0" xfId="47" applyFont="1" applyFill="1" applyBorder="1" applyAlignment="1">
      <alignment horizontal="center"/>
    </xf>
    <xf numFmtId="0" fontId="26" fillId="0" borderId="0" xfId="47" applyFont="1" applyFill="1"/>
    <xf numFmtId="0" fontId="61" fillId="0" borderId="0" xfId="47" applyFont="1" applyFill="1"/>
    <xf numFmtId="0" fontId="75" fillId="41" borderId="30" xfId="48" applyFont="1" applyFill="1" applyBorder="1" applyAlignment="1">
      <alignment horizontal="center" vertical="top" wrapText="1"/>
    </xf>
    <xf numFmtId="0" fontId="75" fillId="41" borderId="75" xfId="48" applyFont="1" applyFill="1" applyBorder="1" applyAlignment="1">
      <alignment horizontal="center" vertical="top" wrapText="1"/>
    </xf>
    <xf numFmtId="0" fontId="76" fillId="53" borderId="76" xfId="47" applyFont="1" applyFill="1" applyBorder="1" applyAlignment="1">
      <alignment horizontal="center" vertical="center" wrapText="1"/>
    </xf>
    <xf numFmtId="0" fontId="77" fillId="53" borderId="76" xfId="47" applyFont="1" applyFill="1" applyBorder="1" applyAlignment="1">
      <alignment horizontal="center" vertical="center" wrapText="1"/>
    </xf>
    <xf numFmtId="0" fontId="48" fillId="0" borderId="1" xfId="47" applyFont="1" applyBorder="1" applyAlignment="1">
      <alignment horizontal="center" vertical="center"/>
    </xf>
    <xf numFmtId="0" fontId="2" fillId="0" borderId="1" xfId="47" applyFont="1" applyBorder="1" applyAlignment="1">
      <alignment horizontal="center"/>
    </xf>
    <xf numFmtId="0" fontId="8" fillId="0" borderId="0" xfId="48" applyFont="1" applyFill="1" applyBorder="1" applyAlignment="1">
      <alignment horizontal="center" wrapText="1"/>
    </xf>
    <xf numFmtId="0" fontId="2" fillId="0" borderId="0" xfId="47" applyBorder="1" applyAlignment="1">
      <alignment horizontal="center"/>
    </xf>
    <xf numFmtId="0" fontId="0" fillId="0" borderId="1" xfId="0" applyBorder="1" applyAlignment="1">
      <alignment vertical="center" wrapText="1"/>
    </xf>
    <xf numFmtId="0" fontId="78" fillId="47" borderId="1" xfId="47" applyFont="1" applyFill="1" applyBorder="1" applyAlignment="1">
      <alignment horizontal="center" vertical="center"/>
    </xf>
    <xf numFmtId="0" fontId="49" fillId="47" borderId="1" xfId="47" applyFont="1" applyFill="1" applyBorder="1" applyAlignment="1">
      <alignment horizontal="center" vertical="center"/>
    </xf>
    <xf numFmtId="0" fontId="0" fillId="0" borderId="1" xfId="47" applyFont="1" applyBorder="1" applyAlignment="1">
      <alignment horizontal="center" vertical="top" wrapText="1"/>
    </xf>
    <xf numFmtId="169" fontId="49" fillId="47" borderId="1" xfId="47" applyNumberFormat="1" applyFont="1" applyFill="1" applyBorder="1" applyAlignment="1">
      <alignment horizontal="center" vertical="center"/>
    </xf>
    <xf numFmtId="166" fontId="49" fillId="38" borderId="1" xfId="47" applyNumberFormat="1" applyFont="1" applyFill="1" applyBorder="1" applyAlignment="1">
      <alignment horizontal="center" vertical="center"/>
    </xf>
    <xf numFmtId="166" fontId="49" fillId="0" borderId="1" xfId="47" applyNumberFormat="1" applyFont="1" applyFill="1" applyBorder="1" applyAlignment="1">
      <alignment horizontal="right" vertical="center"/>
    </xf>
    <xf numFmtId="0" fontId="10" fillId="38" borderId="1" xfId="47" applyFont="1" applyFill="1" applyBorder="1" applyAlignment="1">
      <alignment horizontal="center" vertical="center"/>
    </xf>
    <xf numFmtId="4" fontId="56" fillId="41" borderId="1" xfId="47" applyNumberFormat="1" applyFont="1" applyFill="1" applyBorder="1" applyAlignment="1">
      <alignment horizontal="center" vertical="center"/>
    </xf>
    <xf numFmtId="4" fontId="56" fillId="35" borderId="1" xfId="47" applyNumberFormat="1" applyFont="1" applyFill="1" applyBorder="1" applyAlignment="1">
      <alignment horizontal="center" vertical="center"/>
    </xf>
    <xf numFmtId="4" fontId="56" fillId="40" borderId="1" xfId="47" applyNumberFormat="1" applyFont="1" applyFill="1" applyBorder="1" applyAlignment="1">
      <alignment horizontal="center" vertical="center"/>
    </xf>
    <xf numFmtId="0" fontId="80" fillId="37" borderId="6" xfId="47" applyFont="1" applyFill="1" applyBorder="1" applyAlignment="1">
      <alignment horizontal="left" vertical="center" wrapText="1"/>
    </xf>
    <xf numFmtId="0" fontId="80" fillId="37" borderId="56" xfId="47" applyFont="1" applyFill="1" applyBorder="1" applyAlignment="1">
      <alignment horizontal="left" vertical="center" wrapText="1"/>
    </xf>
    <xf numFmtId="0" fontId="80" fillId="37" borderId="7" xfId="47" applyFont="1" applyFill="1" applyBorder="1" applyAlignment="1">
      <alignment horizontal="left" vertical="center" wrapText="1"/>
    </xf>
    <xf numFmtId="166" fontId="11" fillId="38" borderId="1" xfId="47" applyNumberFormat="1" applyFont="1" applyFill="1" applyBorder="1" applyAlignment="1">
      <alignment vertical="center"/>
    </xf>
    <xf numFmtId="166" fontId="79" fillId="37" borderId="1" xfId="47" applyNumberFormat="1" applyFont="1" applyFill="1" applyBorder="1" applyAlignment="1">
      <alignment horizontal="right" vertical="center"/>
    </xf>
    <xf numFmtId="171" fontId="79" fillId="37" borderId="1" xfId="47" applyNumberFormat="1" applyFont="1" applyFill="1" applyBorder="1" applyAlignment="1">
      <alignment horizontal="center" vertical="center"/>
    </xf>
    <xf numFmtId="166" fontId="79" fillId="37" borderId="1" xfId="47" applyNumberFormat="1" applyFont="1" applyFill="1" applyBorder="1" applyAlignment="1">
      <alignment vertical="center"/>
    </xf>
    <xf numFmtId="166" fontId="49" fillId="37" borderId="1" xfId="47" applyNumberFormat="1" applyFont="1" applyFill="1" applyBorder="1" applyAlignment="1">
      <alignment horizontal="right" vertical="center"/>
    </xf>
    <xf numFmtId="171" fontId="49" fillId="37" borderId="1" xfId="47" applyNumberFormat="1" applyFont="1" applyFill="1" applyBorder="1" applyAlignment="1">
      <alignment horizontal="center" vertical="center"/>
    </xf>
    <xf numFmtId="166" fontId="49" fillId="37" borderId="1" xfId="47" applyNumberFormat="1" applyFont="1" applyFill="1" applyBorder="1" applyAlignment="1">
      <alignment vertical="center"/>
    </xf>
    <xf numFmtId="0" fontId="64" fillId="52" borderId="1" xfId="48" applyFont="1" applyFill="1" applyBorder="1" applyAlignment="1">
      <alignment horizontal="left" vertical="center" wrapText="1"/>
    </xf>
    <xf numFmtId="0" fontId="9" fillId="37" borderId="1" xfId="47" applyFont="1" applyFill="1" applyBorder="1" applyAlignment="1">
      <alignment vertical="center" wrapText="1"/>
    </xf>
    <xf numFmtId="0" fontId="26" fillId="37" borderId="1" xfId="47" applyFont="1" applyFill="1" applyBorder="1" applyAlignment="1"/>
    <xf numFmtId="0" fontId="80" fillId="37" borderId="1" xfId="47" applyFont="1" applyFill="1" applyBorder="1" applyAlignment="1">
      <alignment vertical="center" wrapText="1"/>
    </xf>
    <xf numFmtId="0" fontId="5" fillId="47" borderId="1" xfId="47" applyFont="1" applyFill="1" applyBorder="1" applyAlignment="1">
      <alignment horizontal="center" vertical="center" wrapText="1"/>
    </xf>
    <xf numFmtId="0" fontId="2" fillId="0" borderId="0" xfId="47" applyBorder="1" applyAlignment="1"/>
    <xf numFmtId="168" fontId="0" fillId="0" borderId="1" xfId="0" applyNumberFormat="1" applyFont="1" applyBorder="1" applyAlignment="1">
      <alignment horizontal="center"/>
    </xf>
    <xf numFmtId="172" fontId="0" fillId="0" borderId="1" xfId="0" applyNumberFormat="1" applyFont="1" applyBorder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168" fontId="0" fillId="0" borderId="1" xfId="0" applyNumberFormat="1" applyFont="1" applyBorder="1" applyAlignment="1">
      <alignment horizontal="center" vertical="center"/>
    </xf>
    <xf numFmtId="0" fontId="0" fillId="55" borderId="1" xfId="0" applyFill="1" applyBorder="1" applyAlignment="1">
      <alignment horizontal="center"/>
    </xf>
    <xf numFmtId="168" fontId="81" fillId="55" borderId="1" xfId="0" applyNumberFormat="1" applyFont="1" applyFill="1" applyBorder="1" applyAlignment="1">
      <alignment horizontal="center"/>
    </xf>
    <xf numFmtId="168" fontId="0" fillId="55" borderId="1" xfId="0" applyNumberFormat="1" applyFill="1" applyBorder="1" applyAlignment="1">
      <alignment horizontal="center"/>
    </xf>
    <xf numFmtId="0" fontId="2" fillId="55" borderId="1" xfId="47" applyFill="1" applyBorder="1" applyAlignment="1">
      <alignment horizontal="center"/>
    </xf>
    <xf numFmtId="0" fontId="2" fillId="55" borderId="1" xfId="47" applyFill="1" applyBorder="1"/>
    <xf numFmtId="0" fontId="9" fillId="37" borderId="1" xfId="47" applyFont="1" applyFill="1" applyBorder="1" applyAlignment="1">
      <alignment horizontal="center" vertical="center" wrapText="1"/>
    </xf>
    <xf numFmtId="0" fontId="49" fillId="49" borderId="6" xfId="47" applyFont="1" applyFill="1" applyBorder="1" applyAlignment="1">
      <alignment horizontal="center" vertical="center"/>
    </xf>
    <xf numFmtId="0" fontId="64" fillId="52" borderId="1" xfId="48" applyFont="1" applyFill="1" applyBorder="1" applyAlignment="1">
      <alignment horizontal="left" vertical="top" wrapText="1"/>
    </xf>
    <xf numFmtId="167" fontId="9" fillId="37" borderId="1" xfId="47" applyNumberFormat="1" applyFont="1" applyFill="1" applyBorder="1" applyAlignment="1">
      <alignment horizontal="center" vertical="center" wrapText="1"/>
    </xf>
    <xf numFmtId="166" fontId="82" fillId="37" borderId="1" xfId="47" applyNumberFormat="1" applyFont="1" applyFill="1" applyBorder="1" applyAlignment="1">
      <alignment horizontal="right" vertical="center"/>
    </xf>
    <xf numFmtId="171" fontId="82" fillId="37" borderId="1" xfId="47" applyNumberFormat="1" applyFont="1" applyFill="1" applyBorder="1" applyAlignment="1">
      <alignment horizontal="center" vertical="center"/>
    </xf>
    <xf numFmtId="173" fontId="9" fillId="37" borderId="1" xfId="47" applyNumberFormat="1" applyFont="1" applyFill="1" applyBorder="1" applyAlignment="1">
      <alignment horizontal="center" vertical="center" wrapText="1"/>
    </xf>
    <xf numFmtId="0" fontId="83" fillId="38" borderId="1" xfId="47" applyFont="1" applyFill="1" applyBorder="1" applyAlignment="1">
      <alignment horizontal="center" vertical="center" wrapText="1"/>
    </xf>
    <xf numFmtId="166" fontId="8" fillId="56" borderId="1" xfId="47" applyNumberFormat="1" applyFont="1" applyFill="1" applyBorder="1" applyAlignment="1">
      <alignment horizontal="center" vertical="center" wrapText="1"/>
    </xf>
    <xf numFmtId="174" fontId="8" fillId="56" borderId="1" xfId="47" applyNumberFormat="1" applyFont="1" applyFill="1" applyBorder="1" applyAlignment="1">
      <alignment horizontal="center" vertical="center"/>
    </xf>
    <xf numFmtId="0" fontId="0" fillId="56" borderId="1" xfId="0" applyFill="1" applyBorder="1" applyAlignment="1">
      <alignment horizontal="center" vertical="center" wrapText="1"/>
    </xf>
    <xf numFmtId="0" fontId="84" fillId="44" borderId="76" xfId="47" applyFont="1" applyFill="1" applyBorder="1" applyAlignment="1">
      <alignment horizontal="center" vertical="top" wrapText="1"/>
    </xf>
    <xf numFmtId="0" fontId="2" fillId="56" borderId="1" xfId="47" applyFill="1" applyBorder="1"/>
    <xf numFmtId="0" fontId="2" fillId="57" borderId="1" xfId="47" applyFill="1" applyBorder="1"/>
    <xf numFmtId="0" fontId="86" fillId="0" borderId="1" xfId="47" applyFont="1" applyBorder="1" applyAlignment="1">
      <alignment horizontal="justify" vertical="top" wrapText="1"/>
    </xf>
    <xf numFmtId="0" fontId="87" fillId="0" borderId="1" xfId="47" applyFont="1" applyBorder="1" applyAlignment="1">
      <alignment horizontal="justify" vertical="top" wrapText="1"/>
    </xf>
    <xf numFmtId="175" fontId="8" fillId="0" borderId="1" xfId="47" applyNumberFormat="1" applyFont="1" applyBorder="1" applyAlignment="1">
      <alignment horizontal="center"/>
    </xf>
    <xf numFmtId="0" fontId="67" fillId="58" borderId="76" xfId="47" applyFont="1" applyFill="1" applyBorder="1" applyAlignment="1">
      <alignment horizontal="justify" vertical="center" wrapText="1"/>
    </xf>
    <xf numFmtId="0" fontId="67" fillId="58" borderId="76" xfId="47" applyFont="1" applyFill="1" applyBorder="1" applyAlignment="1">
      <alignment horizontal="center" vertical="center" wrapText="1"/>
    </xf>
    <xf numFmtId="0" fontId="67" fillId="58" borderId="76" xfId="47" applyFont="1" applyFill="1" applyBorder="1" applyAlignment="1">
      <alignment horizontal="center" vertical="top" wrapText="1"/>
    </xf>
    <xf numFmtId="0" fontId="85" fillId="58" borderId="76" xfId="47" applyFont="1" applyFill="1" applyBorder="1" applyAlignment="1">
      <alignment horizontal="center" vertical="top" wrapText="1"/>
    </xf>
    <xf numFmtId="0" fontId="44" fillId="0" borderId="0" xfId="1" applyFont="1" applyAlignment="1">
      <alignment horizontal="left"/>
    </xf>
    <xf numFmtId="0" fontId="34" fillId="0" borderId="0" xfId="1" applyFont="1" applyBorder="1" applyAlignment="1">
      <alignment horizontal="center" vertical="center" wrapText="1"/>
    </xf>
    <xf numFmtId="0" fontId="35" fillId="0" borderId="0" xfId="1" applyFont="1" applyAlignment="1">
      <alignment horizontal="center" vertical="center" wrapText="1"/>
    </xf>
    <xf numFmtId="0" fontId="40" fillId="0" borderId="0" xfId="1" applyFont="1" applyAlignment="1">
      <alignment horizontal="center"/>
    </xf>
    <xf numFmtId="0" fontId="45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4" fillId="0" borderId="51" xfId="0" applyFont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4" fontId="0" fillId="0" borderId="6" xfId="0" applyNumberFormat="1" applyFont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0" borderId="6" xfId="47" applyFont="1" applyBorder="1" applyAlignment="1">
      <alignment horizontal="left" vertical="center" wrapText="1"/>
    </xf>
    <xf numFmtId="0" fontId="11" fillId="0" borderId="56" xfId="47" applyFont="1" applyBorder="1" applyAlignment="1">
      <alignment horizontal="left" vertical="center" wrapText="1"/>
    </xf>
    <xf numFmtId="0" fontId="11" fillId="0" borderId="7" xfId="47" applyFont="1" applyBorder="1" applyAlignment="1">
      <alignment horizontal="left" vertical="center" wrapText="1"/>
    </xf>
    <xf numFmtId="166" fontId="49" fillId="0" borderId="3" xfId="47" applyNumberFormat="1" applyFont="1" applyFill="1" applyBorder="1" applyAlignment="1">
      <alignment horizontal="center" vertical="center"/>
    </xf>
    <xf numFmtId="166" fontId="49" fillId="0" borderId="21" xfId="47" applyNumberFormat="1" applyFont="1" applyFill="1" applyBorder="1" applyAlignment="1">
      <alignment horizontal="center" vertical="center"/>
    </xf>
    <xf numFmtId="166" fontId="49" fillId="0" borderId="4" xfId="47" applyNumberFormat="1" applyFont="1" applyFill="1" applyBorder="1" applyAlignment="1">
      <alignment horizontal="center" vertical="center"/>
    </xf>
    <xf numFmtId="0" fontId="2" fillId="0" borderId="1" xfId="47" applyFont="1" applyBorder="1" applyAlignment="1">
      <alignment horizontal="center"/>
    </xf>
    <xf numFmtId="169" fontId="49" fillId="0" borderId="3" xfId="47" applyNumberFormat="1" applyFont="1" applyFill="1" applyBorder="1" applyAlignment="1">
      <alignment horizontal="center" vertical="center"/>
    </xf>
    <xf numFmtId="169" fontId="49" fillId="0" borderId="21" xfId="47" applyNumberFormat="1" applyFont="1" applyFill="1" applyBorder="1" applyAlignment="1">
      <alignment horizontal="center" vertical="center"/>
    </xf>
    <xf numFmtId="169" fontId="49" fillId="0" borderId="4" xfId="47" applyNumberFormat="1" applyFont="1" applyFill="1" applyBorder="1" applyAlignment="1">
      <alignment horizontal="center" vertical="center"/>
    </xf>
    <xf numFmtId="0" fontId="2" fillId="0" borderId="1" xfId="47" applyFont="1" applyBorder="1" applyAlignment="1">
      <alignment horizontal="center" wrapText="1"/>
    </xf>
    <xf numFmtId="0" fontId="2" fillId="0" borderId="6" xfId="47" applyFont="1" applyBorder="1" applyAlignment="1">
      <alignment horizontal="center"/>
    </xf>
    <xf numFmtId="0" fontId="2" fillId="0" borderId="56" xfId="47" applyFont="1" applyBorder="1" applyAlignment="1">
      <alignment horizontal="center"/>
    </xf>
    <xf numFmtId="0" fontId="2" fillId="0" borderId="7" xfId="47" applyFont="1" applyBorder="1" applyAlignment="1">
      <alignment horizontal="center"/>
    </xf>
    <xf numFmtId="0" fontId="8" fillId="0" borderId="73" xfId="47" applyFont="1" applyBorder="1" applyAlignment="1">
      <alignment horizontal="left" vertical="center" wrapText="1"/>
    </xf>
    <xf numFmtId="49" fontId="49" fillId="2" borderId="3" xfId="47" applyNumberFormat="1" applyFont="1" applyFill="1" applyBorder="1" applyAlignment="1">
      <alignment horizontal="center" vertical="center" wrapText="1"/>
    </xf>
    <xf numFmtId="49" fontId="49" fillId="2" borderId="4" xfId="47" applyNumberFormat="1" applyFont="1" applyFill="1" applyBorder="1" applyAlignment="1">
      <alignment horizontal="center" vertical="center" wrapText="1"/>
    </xf>
    <xf numFmtId="0" fontId="49" fillId="37" borderId="1" xfId="47" applyFont="1" applyFill="1" applyBorder="1" applyAlignment="1">
      <alignment horizontal="center" vertical="center" wrapText="1"/>
    </xf>
    <xf numFmtId="0" fontId="49" fillId="38" borderId="3" xfId="47" applyFont="1" applyFill="1" applyBorder="1" applyAlignment="1">
      <alignment horizontal="center" vertical="center" wrapText="1"/>
    </xf>
    <xf numFmtId="0" fontId="11" fillId="38" borderId="21" xfId="47" applyFont="1" applyFill="1" applyBorder="1" applyAlignment="1">
      <alignment horizontal="center" vertical="center" wrapText="1"/>
    </xf>
    <xf numFmtId="0" fontId="49" fillId="38" borderId="1" xfId="47" applyFont="1" applyFill="1" applyBorder="1" applyAlignment="1">
      <alignment horizontal="center" vertical="center" wrapText="1"/>
    </xf>
    <xf numFmtId="0" fontId="48" fillId="2" borderId="6" xfId="47" applyFont="1" applyFill="1" applyBorder="1" applyAlignment="1">
      <alignment horizontal="center" vertical="center" wrapText="1"/>
    </xf>
    <xf numFmtId="0" fontId="48" fillId="2" borderId="56" xfId="47" applyFont="1" applyFill="1" applyBorder="1" applyAlignment="1">
      <alignment horizontal="center" vertical="center" wrapText="1"/>
    </xf>
    <xf numFmtId="0" fontId="48" fillId="2" borderId="7" xfId="47" applyFont="1" applyFill="1" applyBorder="1" applyAlignment="1">
      <alignment horizontal="center" vertical="center" wrapText="1"/>
    </xf>
    <xf numFmtId="0" fontId="49" fillId="39" borderId="6" xfId="47" applyFont="1" applyFill="1" applyBorder="1" applyAlignment="1">
      <alignment horizontal="center" vertical="center" wrapText="1"/>
    </xf>
    <xf numFmtId="0" fontId="49" fillId="39" borderId="7" xfId="47" applyFont="1" applyFill="1" applyBorder="1" applyAlignment="1">
      <alignment horizontal="center" vertical="center" wrapText="1"/>
    </xf>
    <xf numFmtId="0" fontId="49" fillId="36" borderId="6" xfId="47" applyFont="1" applyFill="1" applyBorder="1" applyAlignment="1">
      <alignment horizontal="center" vertical="center" wrapText="1"/>
    </xf>
    <xf numFmtId="0" fontId="49" fillId="36" borderId="7" xfId="47" applyFont="1" applyFill="1" applyBorder="1" applyAlignment="1">
      <alignment horizontal="center" vertical="center" wrapText="1"/>
    </xf>
    <xf numFmtId="0" fontId="49" fillId="40" borderId="6" xfId="47" applyFont="1" applyFill="1" applyBorder="1" applyAlignment="1">
      <alignment horizontal="center" vertical="center" wrapText="1"/>
    </xf>
    <xf numFmtId="0" fontId="49" fillId="40" borderId="7" xfId="47" applyFont="1" applyFill="1" applyBorder="1" applyAlignment="1">
      <alignment horizontal="center" vertical="center"/>
    </xf>
    <xf numFmtId="0" fontId="49" fillId="38" borderId="37" xfId="47" applyFont="1" applyFill="1" applyBorder="1" applyAlignment="1">
      <alignment horizontal="center" vertical="center"/>
    </xf>
    <xf numFmtId="0" fontId="49" fillId="38" borderId="74" xfId="47" applyFont="1" applyFill="1" applyBorder="1" applyAlignment="1">
      <alignment horizontal="center" vertical="center"/>
    </xf>
    <xf numFmtId="0" fontId="49" fillId="38" borderId="26" xfId="47" applyFont="1" applyFill="1" applyBorder="1" applyAlignment="1">
      <alignment horizontal="center" vertical="center"/>
    </xf>
    <xf numFmtId="0" fontId="49" fillId="38" borderId="73" xfId="47" applyFont="1" applyFill="1" applyBorder="1" applyAlignment="1">
      <alignment horizontal="center" vertical="center"/>
    </xf>
    <xf numFmtId="0" fontId="11" fillId="0" borderId="1" xfId="47" applyFont="1" applyBorder="1" applyAlignment="1">
      <alignment horizontal="left" vertical="top" wrapText="1"/>
    </xf>
    <xf numFmtId="0" fontId="0" fillId="0" borderId="37" xfId="47" applyFont="1" applyBorder="1" applyAlignment="1">
      <alignment horizontal="left" vertical="top" wrapText="1"/>
    </xf>
    <xf numFmtId="0" fontId="2" fillId="0" borderId="74" xfId="47" applyFont="1" applyBorder="1" applyAlignment="1">
      <alignment horizontal="left" vertical="top" wrapText="1"/>
    </xf>
    <xf numFmtId="0" fontId="2" fillId="0" borderId="40" xfId="47" applyFont="1" applyBorder="1" applyAlignment="1">
      <alignment horizontal="left" vertical="top" wrapText="1"/>
    </xf>
    <xf numFmtId="0" fontId="2" fillId="0" borderId="38" xfId="47" applyFont="1" applyBorder="1" applyAlignment="1">
      <alignment horizontal="left" vertical="top" wrapText="1"/>
    </xf>
    <xf numFmtId="0" fontId="2" fillId="0" borderId="0" xfId="47" applyFont="1" applyBorder="1" applyAlignment="1">
      <alignment horizontal="left" vertical="top" wrapText="1"/>
    </xf>
    <xf numFmtId="0" fontId="2" fillId="0" borderId="48" xfId="47" applyFont="1" applyBorder="1" applyAlignment="1">
      <alignment horizontal="left" vertical="top" wrapText="1"/>
    </xf>
    <xf numFmtId="0" fontId="2" fillId="0" borderId="26" xfId="47" applyFont="1" applyBorder="1" applyAlignment="1">
      <alignment horizontal="left" vertical="top" wrapText="1"/>
    </xf>
    <xf numFmtId="0" fontId="2" fillId="0" borderId="73" xfId="47" applyFont="1" applyBorder="1" applyAlignment="1">
      <alignment horizontal="left" vertical="top" wrapText="1"/>
    </xf>
    <xf numFmtId="0" fontId="2" fillId="0" borderId="28" xfId="47" applyFont="1" applyBorder="1" applyAlignment="1">
      <alignment horizontal="left" vertical="top" wrapText="1"/>
    </xf>
    <xf numFmtId="0" fontId="51" fillId="0" borderId="3" xfId="0" applyFont="1" applyFill="1" applyBorder="1" applyAlignment="1">
      <alignment horizontal="center" vertical="center" wrapText="1"/>
    </xf>
    <xf numFmtId="0" fontId="51" fillId="0" borderId="21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8" fillId="42" borderId="0" xfId="47" applyFont="1" applyFill="1" applyAlignment="1">
      <alignment horizontal="right" vertical="center"/>
    </xf>
    <xf numFmtId="0" fontId="8" fillId="42" borderId="48" xfId="47" applyFont="1" applyFill="1" applyBorder="1" applyAlignment="1">
      <alignment horizontal="right" vertical="center"/>
    </xf>
    <xf numFmtId="0" fontId="54" fillId="0" borderId="0" xfId="47" applyFont="1" applyBorder="1" applyAlignment="1">
      <alignment horizontal="left"/>
    </xf>
    <xf numFmtId="0" fontId="8" fillId="0" borderId="0" xfId="48" applyFont="1" applyFill="1" applyBorder="1" applyAlignment="1">
      <alignment horizontal="center" wrapText="1"/>
    </xf>
    <xf numFmtId="0" fontId="76" fillId="53" borderId="61" xfId="47" applyFont="1" applyFill="1" applyBorder="1" applyAlignment="1">
      <alignment horizontal="center" vertical="center" wrapText="1"/>
    </xf>
    <xf numFmtId="0" fontId="76" fillId="53" borderId="73" xfId="47" applyFont="1" applyFill="1" applyBorder="1" applyAlignment="1">
      <alignment horizontal="center" vertical="center" wrapText="1"/>
    </xf>
    <xf numFmtId="0" fontId="8" fillId="2" borderId="6" xfId="47" applyFont="1" applyFill="1" applyBorder="1" applyAlignment="1">
      <alignment horizontal="right" vertical="center" wrapText="1"/>
    </xf>
    <xf numFmtId="0" fontId="8" fillId="2" borderId="56" xfId="47" applyFont="1" applyFill="1" applyBorder="1" applyAlignment="1">
      <alignment horizontal="right" vertical="center" wrapText="1"/>
    </xf>
    <xf numFmtId="0" fontId="8" fillId="2" borderId="7" xfId="47" applyFont="1" applyFill="1" applyBorder="1" applyAlignment="1">
      <alignment horizontal="right" vertical="center" wrapText="1"/>
    </xf>
    <xf numFmtId="0" fontId="2" fillId="0" borderId="1" xfId="47" applyFont="1" applyFill="1" applyBorder="1" applyAlignment="1">
      <alignment horizontal="center"/>
    </xf>
    <xf numFmtId="0" fontId="2" fillId="0" borderId="1" xfId="47" applyFont="1" applyFill="1" applyBorder="1" applyAlignment="1">
      <alignment horizontal="center" wrapText="1"/>
    </xf>
    <xf numFmtId="0" fontId="11" fillId="0" borderId="6" xfId="47" applyFont="1" applyBorder="1" applyAlignment="1">
      <alignment horizontal="left" wrapText="1"/>
    </xf>
    <xf numFmtId="0" fontId="11" fillId="0" borderId="56" xfId="47" applyFont="1" applyBorder="1" applyAlignment="1">
      <alignment horizontal="left" wrapText="1"/>
    </xf>
    <xf numFmtId="0" fontId="11" fillId="0" borderId="7" xfId="47" applyFont="1" applyBorder="1" applyAlignment="1">
      <alignment horizontal="left" wrapText="1"/>
    </xf>
    <xf numFmtId="0" fontId="8" fillId="50" borderId="26" xfId="47" applyFont="1" applyFill="1" applyBorder="1" applyAlignment="1">
      <alignment horizontal="left" vertical="center" wrapText="1"/>
    </xf>
    <xf numFmtId="0" fontId="0" fillId="0" borderId="73" xfId="0" applyBorder="1"/>
    <xf numFmtId="0" fontId="0" fillId="0" borderId="6" xfId="47" applyFont="1" applyBorder="1" applyAlignment="1">
      <alignment horizontal="left" wrapText="1"/>
    </xf>
    <xf numFmtId="0" fontId="2" fillId="0" borderId="56" xfId="47" applyFont="1" applyBorder="1" applyAlignment="1">
      <alignment horizontal="left" wrapText="1"/>
    </xf>
    <xf numFmtId="0" fontId="2" fillId="0" borderId="7" xfId="47" applyFont="1" applyBorder="1" applyAlignment="1">
      <alignment horizontal="left" wrapText="1"/>
    </xf>
    <xf numFmtId="0" fontId="55" fillId="0" borderId="6" xfId="47" applyFont="1" applyBorder="1" applyAlignment="1">
      <alignment horizontal="center" vertical="center" wrapText="1"/>
    </xf>
    <xf numFmtId="0" fontId="55" fillId="0" borderId="7" xfId="47" applyFont="1" applyBorder="1" applyAlignment="1">
      <alignment horizontal="center" vertical="center" wrapText="1"/>
    </xf>
    <xf numFmtId="0" fontId="2" fillId="45" borderId="1" xfId="47" applyFont="1" applyFill="1" applyBorder="1" applyAlignment="1">
      <alignment horizontal="center"/>
    </xf>
    <xf numFmtId="0" fontId="2" fillId="0" borderId="6" xfId="47" applyFont="1" applyFill="1" applyBorder="1" applyAlignment="1">
      <alignment horizontal="center"/>
    </xf>
    <xf numFmtId="0" fontId="2" fillId="0" borderId="56" xfId="47" applyFont="1" applyFill="1" applyBorder="1" applyAlignment="1">
      <alignment horizontal="center"/>
    </xf>
    <xf numFmtId="0" fontId="2" fillId="0" borderId="7" xfId="47" applyFont="1" applyFill="1" applyBorder="1" applyAlignment="1">
      <alignment horizontal="center"/>
    </xf>
    <xf numFmtId="0" fontId="8" fillId="50" borderId="73" xfId="47" applyFont="1" applyFill="1" applyBorder="1" applyAlignment="1">
      <alignment horizontal="left" vertical="center" wrapText="1"/>
    </xf>
    <xf numFmtId="0" fontId="55" fillId="0" borderId="1" xfId="47" applyFont="1" applyBorder="1" applyAlignment="1">
      <alignment horizontal="center" vertical="top" wrapText="1"/>
    </xf>
    <xf numFmtId="0" fontId="2" fillId="0" borderId="0" xfId="47" applyFont="1" applyAlignment="1">
      <alignment horizontal="center"/>
    </xf>
    <xf numFmtId="0" fontId="48" fillId="41" borderId="41" xfId="48" applyFont="1" applyFill="1" applyBorder="1" applyAlignment="1">
      <alignment horizontal="left" vertical="center" wrapText="1"/>
    </xf>
    <xf numFmtId="0" fontId="48" fillId="41" borderId="42" xfId="48" applyFont="1" applyFill="1" applyBorder="1" applyAlignment="1">
      <alignment horizontal="left" vertical="center" wrapText="1"/>
    </xf>
    <xf numFmtId="0" fontId="48" fillId="41" borderId="43" xfId="48" applyFont="1" applyFill="1" applyBorder="1" applyAlignment="1">
      <alignment horizontal="left" vertical="center" wrapText="1"/>
    </xf>
    <xf numFmtId="0" fontId="55" fillId="0" borderId="6" xfId="47" applyFont="1" applyBorder="1" applyAlignment="1">
      <alignment horizontal="center" vertical="top" wrapText="1"/>
    </xf>
    <xf numFmtId="0" fontId="55" fillId="0" borderId="7" xfId="47" applyFont="1" applyBorder="1" applyAlignment="1">
      <alignment horizontal="center" vertical="top" wrapText="1"/>
    </xf>
    <xf numFmtId="0" fontId="11" fillId="0" borderId="6" xfId="47" applyFont="1" applyFill="1" applyBorder="1" applyAlignment="1">
      <alignment horizontal="right" vertical="center"/>
    </xf>
    <xf numFmtId="0" fontId="11" fillId="0" borderId="7" xfId="47" applyFont="1" applyFill="1" applyBorder="1" applyAlignment="1">
      <alignment horizontal="right" vertical="center"/>
    </xf>
    <xf numFmtId="0" fontId="11" fillId="0" borderId="6" xfId="47" applyFont="1" applyFill="1" applyBorder="1" applyAlignment="1">
      <alignment horizontal="right" vertical="center" wrapText="1"/>
    </xf>
    <xf numFmtId="0" fontId="11" fillId="0" borderId="7" xfId="47" applyFont="1" applyFill="1" applyBorder="1" applyAlignment="1">
      <alignment horizontal="right" vertical="center" wrapText="1"/>
    </xf>
    <xf numFmtId="0" fontId="2" fillId="54" borderId="38" xfId="47" applyFill="1" applyBorder="1" applyAlignment="1">
      <alignment horizontal="center"/>
    </xf>
    <xf numFmtId="0" fontId="2" fillId="54" borderId="0" xfId="47" applyFill="1" applyAlignment="1">
      <alignment horizontal="center"/>
    </xf>
    <xf numFmtId="0" fontId="9" fillId="37" borderId="6" xfId="47" applyFont="1" applyFill="1" applyBorder="1" applyAlignment="1">
      <alignment horizontal="center" vertical="center" wrapText="1"/>
    </xf>
    <xf numFmtId="0" fontId="9" fillId="37" borderId="56" xfId="47" applyFont="1" applyFill="1" applyBorder="1" applyAlignment="1">
      <alignment horizontal="center" vertical="center" wrapText="1"/>
    </xf>
    <xf numFmtId="0" fontId="9" fillId="37" borderId="7" xfId="47" applyFont="1" applyFill="1" applyBorder="1" applyAlignment="1">
      <alignment horizontal="center" vertical="center" wrapText="1"/>
    </xf>
    <xf numFmtId="0" fontId="48" fillId="46" borderId="6" xfId="47" applyFont="1" applyFill="1" applyBorder="1" applyAlignment="1">
      <alignment horizontal="left" vertical="center" wrapText="1"/>
    </xf>
    <xf numFmtId="0" fontId="48" fillId="46" borderId="56" xfId="47" applyFont="1" applyFill="1" applyBorder="1" applyAlignment="1">
      <alignment horizontal="left" vertical="center" wrapText="1"/>
    </xf>
    <xf numFmtId="0" fontId="48" fillId="46" borderId="7" xfId="47" applyFont="1" applyFill="1" applyBorder="1" applyAlignment="1">
      <alignment horizontal="left" vertical="center" wrapText="1"/>
    </xf>
    <xf numFmtId="0" fontId="48" fillId="47" borderId="26" xfId="47" applyFont="1" applyFill="1" applyBorder="1" applyAlignment="1">
      <alignment horizontal="left" vertical="center" wrapText="1"/>
    </xf>
    <xf numFmtId="0" fontId="48" fillId="47" borderId="73" xfId="47" applyFont="1" applyFill="1" applyBorder="1" applyAlignment="1">
      <alignment horizontal="left" vertical="center" wrapText="1"/>
    </xf>
    <xf numFmtId="0" fontId="49" fillId="46" borderId="1" xfId="47" applyFont="1" applyFill="1" applyBorder="1" applyAlignment="1">
      <alignment horizontal="center" vertical="center" textRotation="90" wrapText="1"/>
    </xf>
    <xf numFmtId="0" fontId="49" fillId="47" borderId="1" xfId="47" applyFont="1" applyFill="1" applyBorder="1" applyAlignment="1">
      <alignment horizontal="center" vertical="center" wrapText="1"/>
    </xf>
    <xf numFmtId="0" fontId="49" fillId="0" borderId="3" xfId="47" applyFont="1" applyFill="1" applyBorder="1" applyAlignment="1">
      <alignment horizontal="center" vertical="center" wrapText="1"/>
    </xf>
    <xf numFmtId="0" fontId="11" fillId="0" borderId="21" xfId="47" applyFont="1" applyFill="1" applyBorder="1" applyAlignment="1">
      <alignment horizontal="center" vertical="center" wrapText="1"/>
    </xf>
    <xf numFmtId="0" fontId="49" fillId="36" borderId="3" xfId="47" applyFont="1" applyFill="1" applyBorder="1" applyAlignment="1">
      <alignment horizontal="center" vertical="center" wrapText="1"/>
    </xf>
    <xf numFmtId="0" fontId="49" fillId="36" borderId="4" xfId="47" applyFont="1" applyFill="1" applyBorder="1" applyAlignment="1">
      <alignment horizontal="center" vertical="center" wrapText="1"/>
    </xf>
    <xf numFmtId="0" fontId="49" fillId="48" borderId="6" xfId="47" applyFont="1" applyFill="1" applyBorder="1" applyAlignment="1">
      <alignment horizontal="center" vertical="center" wrapText="1"/>
    </xf>
    <xf numFmtId="0" fontId="49" fillId="48" borderId="56" xfId="47" applyFont="1" applyFill="1" applyBorder="1" applyAlignment="1">
      <alignment horizontal="center" vertical="center" wrapText="1"/>
    </xf>
    <xf numFmtId="0" fontId="49" fillId="48" borderId="7" xfId="47" applyFont="1" applyFill="1" applyBorder="1" applyAlignment="1">
      <alignment horizontal="center" vertical="center" wrapText="1"/>
    </xf>
    <xf numFmtId="0" fontId="80" fillId="37" borderId="6" xfId="47" applyFont="1" applyFill="1" applyBorder="1" applyAlignment="1">
      <alignment horizontal="left" vertical="center" wrapText="1"/>
    </xf>
    <xf numFmtId="0" fontId="80" fillId="37" borderId="56" xfId="47" applyFont="1" applyFill="1" applyBorder="1" applyAlignment="1">
      <alignment horizontal="left" vertical="center" wrapText="1"/>
    </xf>
    <xf numFmtId="0" fontId="80" fillId="37" borderId="7" xfId="47" applyFont="1" applyFill="1" applyBorder="1" applyAlignment="1">
      <alignment horizontal="left" vertical="center" wrapText="1"/>
    </xf>
    <xf numFmtId="166" fontId="8" fillId="56" borderId="37" xfId="47" applyNumberFormat="1" applyFont="1" applyFill="1" applyBorder="1" applyAlignment="1">
      <alignment horizontal="center" vertical="center"/>
    </xf>
    <xf numFmtId="166" fontId="8" fillId="56" borderId="74" xfId="47" applyNumberFormat="1" applyFont="1" applyFill="1" applyBorder="1" applyAlignment="1">
      <alignment horizontal="center" vertical="center"/>
    </xf>
    <xf numFmtId="0" fontId="49" fillId="0" borderId="0" xfId="47" applyFont="1" applyFill="1" applyBorder="1" applyAlignment="1">
      <alignment horizontal="center" vertical="center"/>
    </xf>
    <xf numFmtId="0" fontId="80" fillId="37" borderId="6" xfId="47" applyFont="1" applyFill="1" applyBorder="1" applyAlignment="1">
      <alignment vertical="center" wrapText="1"/>
    </xf>
    <xf numFmtId="0" fontId="80" fillId="37" borderId="56" xfId="47" applyFont="1" applyFill="1" applyBorder="1" applyAlignment="1">
      <alignment vertical="center" wrapText="1"/>
    </xf>
    <xf numFmtId="0" fontId="80" fillId="37" borderId="7" xfId="47" applyFont="1" applyFill="1" applyBorder="1" applyAlignment="1">
      <alignment vertical="center" wrapText="1"/>
    </xf>
    <xf numFmtId="0" fontId="49" fillId="47" borderId="37" xfId="47" applyFont="1" applyFill="1" applyBorder="1" applyAlignment="1">
      <alignment horizontal="center" vertical="center"/>
    </xf>
    <xf numFmtId="0" fontId="49" fillId="47" borderId="74" xfId="47" applyFont="1" applyFill="1" applyBorder="1" applyAlignment="1">
      <alignment horizontal="center" vertical="center"/>
    </xf>
    <xf numFmtId="0" fontId="49" fillId="47" borderId="40" xfId="47" applyFont="1" applyFill="1" applyBorder="1" applyAlignment="1">
      <alignment horizontal="center" vertical="center"/>
    </xf>
    <xf numFmtId="0" fontId="49" fillId="47" borderId="26" xfId="47" applyFont="1" applyFill="1" applyBorder="1" applyAlignment="1">
      <alignment horizontal="center" vertical="center"/>
    </xf>
    <xf numFmtId="0" fontId="49" fillId="47" borderId="73" xfId="47" applyFont="1" applyFill="1" applyBorder="1" applyAlignment="1">
      <alignment horizontal="center" vertical="center"/>
    </xf>
    <xf numFmtId="0" fontId="49" fillId="47" borderId="28" xfId="47" applyFont="1" applyFill="1" applyBorder="1" applyAlignment="1">
      <alignment horizontal="center" vertical="center"/>
    </xf>
    <xf numFmtId="0" fontId="8" fillId="38" borderId="37" xfId="47" applyFont="1" applyFill="1" applyBorder="1" applyAlignment="1">
      <alignment horizontal="center" vertical="center" wrapText="1"/>
    </xf>
    <xf numFmtId="0" fontId="8" fillId="38" borderId="74" xfId="47" applyFont="1" applyFill="1" applyBorder="1" applyAlignment="1">
      <alignment horizontal="center" vertical="center" wrapText="1"/>
    </xf>
    <xf numFmtId="0" fontId="8" fillId="38" borderId="40" xfId="47" applyFont="1" applyFill="1" applyBorder="1" applyAlignment="1">
      <alignment horizontal="center" vertical="center" wrapText="1"/>
    </xf>
    <xf numFmtId="0" fontId="8" fillId="38" borderId="26" xfId="47" applyFont="1" applyFill="1" applyBorder="1" applyAlignment="1">
      <alignment horizontal="center" vertical="center" wrapText="1"/>
    </xf>
    <xf numFmtId="0" fontId="8" fillId="38" borderId="73" xfId="47" applyFont="1" applyFill="1" applyBorder="1" applyAlignment="1">
      <alignment horizontal="center" vertical="center" wrapText="1"/>
    </xf>
    <xf numFmtId="0" fontId="8" fillId="38" borderId="28" xfId="47" applyFont="1" applyFill="1" applyBorder="1" applyAlignment="1">
      <alignment horizontal="center" vertical="center" wrapText="1"/>
    </xf>
    <xf numFmtId="0" fontId="2" fillId="38" borderId="6" xfId="47" applyFill="1" applyBorder="1" applyAlignment="1">
      <alignment horizontal="center"/>
    </xf>
    <xf numFmtId="0" fontId="2" fillId="38" borderId="56" xfId="47" applyFill="1" applyBorder="1" applyAlignment="1">
      <alignment horizontal="center"/>
    </xf>
    <xf numFmtId="0" fontId="2" fillId="38" borderId="7" xfId="47" applyFill="1" applyBorder="1" applyAlignment="1">
      <alignment horizontal="center"/>
    </xf>
    <xf numFmtId="0" fontId="0" fillId="0" borderId="6" xfId="47" applyFont="1" applyBorder="1" applyAlignment="1">
      <alignment horizontal="center" vertical="center"/>
    </xf>
    <xf numFmtId="0" fontId="0" fillId="0" borderId="74" xfId="47" applyFont="1" applyBorder="1" applyAlignment="1">
      <alignment horizontal="left"/>
    </xf>
    <xf numFmtId="0" fontId="2" fillId="0" borderId="74" xfId="47" applyBorder="1" applyAlignment="1">
      <alignment horizontal="left"/>
    </xf>
    <xf numFmtId="0" fontId="0" fillId="0" borderId="38" xfId="47" applyFont="1" applyBorder="1" applyAlignment="1">
      <alignment horizontal="left"/>
    </xf>
    <xf numFmtId="0" fontId="2" fillId="0" borderId="0" xfId="47" applyAlignment="1">
      <alignment horizontal="left"/>
    </xf>
    <xf numFmtId="0" fontId="8" fillId="56" borderId="6" xfId="47" applyFont="1" applyFill="1" applyBorder="1" applyAlignment="1">
      <alignment horizontal="right" vertical="center" wrapText="1"/>
    </xf>
    <xf numFmtId="0" fontId="8" fillId="56" borderId="56" xfId="47" applyFont="1" applyFill="1" applyBorder="1" applyAlignment="1">
      <alignment horizontal="right" vertical="center" wrapText="1"/>
    </xf>
    <xf numFmtId="0" fontId="26" fillId="37" borderId="6" xfId="47" applyFont="1" applyFill="1" applyBorder="1" applyAlignment="1">
      <alignment horizontal="center"/>
    </xf>
    <xf numFmtId="0" fontId="26" fillId="37" borderId="56" xfId="47" applyFont="1" applyFill="1" applyBorder="1" applyAlignment="1">
      <alignment horizontal="center"/>
    </xf>
    <xf numFmtId="0" fontId="26" fillId="37" borderId="7" xfId="47" applyFont="1" applyFill="1" applyBorder="1" applyAlignment="1">
      <alignment horizontal="center"/>
    </xf>
  </cellXfs>
  <cellStyles count="54">
    <cellStyle name="20% - akcent 1" xfId="22" builtinId="30" customBuiltin="1"/>
    <cellStyle name="20% - akcent 2" xfId="26" builtinId="34" customBuiltin="1"/>
    <cellStyle name="20% - akcent 3" xfId="30" builtinId="38" customBuiltin="1"/>
    <cellStyle name="20% - akcent 4" xfId="34" builtinId="42" customBuiltin="1"/>
    <cellStyle name="20% - akcent 5" xfId="38" builtinId="46" customBuiltin="1"/>
    <cellStyle name="20% - akcent 6" xfId="42" builtinId="50" customBuiltin="1"/>
    <cellStyle name="40% - akcent 1" xfId="23" builtinId="31" customBuiltin="1"/>
    <cellStyle name="40% - akcent 2" xfId="27" builtinId="35" customBuiltin="1"/>
    <cellStyle name="40% - akcent 3" xfId="31" builtinId="39" customBuiltin="1"/>
    <cellStyle name="40% - akcent 4" xfId="35" builtinId="43" customBuiltin="1"/>
    <cellStyle name="40% - akcent 5" xfId="39" builtinId="47" customBuiltin="1"/>
    <cellStyle name="40% - akcent 6" xfId="43" builtinId="51" customBuiltin="1"/>
    <cellStyle name="60% - akcent 1" xfId="24" builtinId="32" customBuiltin="1"/>
    <cellStyle name="60% - akcent 2" xfId="28" builtinId="36" customBuiltin="1"/>
    <cellStyle name="60% - akcent 3" xfId="32" builtinId="40" customBuiltin="1"/>
    <cellStyle name="60% - akcent 4" xfId="36" builtinId="44" customBuiltin="1"/>
    <cellStyle name="60% - akcent 5" xfId="40" builtinId="48" customBuiltin="1"/>
    <cellStyle name="60% - akcent 6" xfId="44" builtinId="52" customBuiltin="1"/>
    <cellStyle name="Akcent 1" xfId="21" builtinId="29" customBuiltin="1"/>
    <cellStyle name="Akcent 2" xfId="25" builtinId="33" customBuiltin="1"/>
    <cellStyle name="Akcent 3" xfId="29" builtinId="37" customBuiltin="1"/>
    <cellStyle name="Akcent 4" xfId="33" builtinId="41" customBuiltin="1"/>
    <cellStyle name="Akcent 5" xfId="37" builtinId="45" customBuiltin="1"/>
    <cellStyle name="Akcent 6" xfId="41" builtinId="49" customBuiltin="1"/>
    <cellStyle name="Dane wejściowe" xfId="12" builtinId="20" customBuiltin="1"/>
    <cellStyle name="Dane wyjściowe" xfId="13" builtinId="21" customBuiltin="1"/>
    <cellStyle name="Dobre" xfId="9" builtinId="26" customBuiltin="1"/>
    <cellStyle name="Excel Built-in Normal" xfId="49"/>
    <cellStyle name="Excel Built-in Normal 1" xfId="50"/>
    <cellStyle name="Excel Built-in Normal 2" xfId="51"/>
    <cellStyle name="Excel Built-in Normal 2 2" xfId="52"/>
    <cellStyle name="Excel Built-in Normal 3" xfId="53"/>
    <cellStyle name="Hiperłącze" xfId="46" builtinId="8"/>
    <cellStyle name="Komórka połączona" xfId="15" builtinId="24" customBuiltin="1"/>
    <cellStyle name="Komórka zaznaczona" xfId="16" builtinId="23" customBuiltin="1"/>
    <cellStyle name="Nagłówek 1" xfId="5" builtinId="16" customBuiltin="1"/>
    <cellStyle name="Nagłówek 2" xfId="6" builtinId="17" customBuiltin="1"/>
    <cellStyle name="Nagłówek 3" xfId="7" builtinId="18" customBuiltin="1"/>
    <cellStyle name="Nagłówek 4" xfId="8" builtinId="19" customBuiltin="1"/>
    <cellStyle name="Neutralne" xfId="11" builtinId="28" customBuiltin="1"/>
    <cellStyle name="Normalny" xfId="0" builtinId="0"/>
    <cellStyle name="Normalny 2" xfId="1"/>
    <cellStyle name="Normalny 2 2" xfId="47"/>
    <cellStyle name="Normalny 3" xfId="45"/>
    <cellStyle name="Normalny 3 2" xfId="48"/>
    <cellStyle name="Normalny 4" xfId="2"/>
    <cellStyle name="Obliczenia" xfId="14" builtinId="22" customBuiltin="1"/>
    <cellStyle name="Procentowy" xfId="3" builtinId="5"/>
    <cellStyle name="Suma" xfId="20" builtinId="25" customBuiltin="1"/>
    <cellStyle name="Tekst objaśnienia" xfId="19" builtinId="53" customBuiltin="1"/>
    <cellStyle name="Tekst ostrzeżenia" xfId="17" builtinId="11" customBuiltin="1"/>
    <cellStyle name="Tytuł" xfId="4" builtinId="15" customBuiltin="1"/>
    <cellStyle name="Uwaga" xfId="18" builtinId="10" customBuiltin="1"/>
    <cellStyle name="Złe" xfId="10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'2. Użyteczność publiczna'!$C$47</c:f>
              <c:strCache>
                <c:ptCount val="1"/>
                <c:pt idx="0">
                  <c:v>zużycie energii [MWh]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Użyteczność publiczna'!$B$48:$B$54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olej opałowy</c:v>
                </c:pt>
                <c:pt idx="4">
                  <c:v>biomasa</c:v>
                </c:pt>
                <c:pt idx="5">
                  <c:v>gaz ziemny</c:v>
                </c:pt>
                <c:pt idx="6">
                  <c:v>gaz płynny</c:v>
                </c:pt>
              </c:strCache>
            </c:strRef>
          </c:cat>
          <c:val>
            <c:numRef>
              <c:f>'2. Użyteczność publiczna'!$C$48:$C$54</c:f>
              <c:numCache>
                <c:formatCode>#,##0.00</c:formatCode>
                <c:ptCount val="7"/>
                <c:pt idx="0">
                  <c:v>288.709</c:v>
                </c:pt>
                <c:pt idx="1">
                  <c:v>666.02527777777777</c:v>
                </c:pt>
                <c:pt idx="2">
                  <c:v>750.01638888888897</c:v>
                </c:pt>
                <c:pt idx="3">
                  <c:v>1016.7041805833333</c:v>
                </c:pt>
                <c:pt idx="4">
                  <c:v>41.666666666666664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gapWidth val="219"/>
        <c:overlap val="-27"/>
        <c:axId val="149617280"/>
        <c:axId val="149361024"/>
      </c:barChart>
      <c:catAx>
        <c:axId val="1496172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9361024"/>
        <c:crosses val="autoZero"/>
        <c:auto val="1"/>
        <c:lblAlgn val="ctr"/>
        <c:lblOffset val="100"/>
      </c:catAx>
      <c:valAx>
        <c:axId val="1493610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961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'4. Transport'!$E$10</c:f>
              <c:strCache>
                <c:ptCount val="1"/>
                <c:pt idx="0">
                  <c:v>emisja CO2 [Mg]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Transport'!$B$11:$B$13</c:f>
              <c:strCache>
                <c:ptCount val="3"/>
                <c:pt idx="0">
                  <c:v>olej napędowy</c:v>
                </c:pt>
                <c:pt idx="1">
                  <c:v>benzyna</c:v>
                </c:pt>
                <c:pt idx="2">
                  <c:v>gaz LPG</c:v>
                </c:pt>
              </c:strCache>
            </c:strRef>
          </c:cat>
          <c:val>
            <c:numRef>
              <c:f>'4. Transport'!$E$11:$E$13</c:f>
              <c:numCache>
                <c:formatCode>#,##0.00</c:formatCode>
                <c:ptCount val="3"/>
                <c:pt idx="0">
                  <c:v>28398.354194918953</c:v>
                </c:pt>
                <c:pt idx="1">
                  <c:v>8412.5068644669609</c:v>
                </c:pt>
                <c:pt idx="2">
                  <c:v>3881.1921775737383</c:v>
                </c:pt>
              </c:numCache>
            </c:numRef>
          </c:val>
        </c:ser>
        <c:gapWidth val="219"/>
        <c:overlap val="-27"/>
        <c:axId val="150957440"/>
        <c:axId val="150987904"/>
      </c:barChart>
      <c:catAx>
        <c:axId val="1509574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0987904"/>
        <c:crosses val="autoZero"/>
        <c:auto val="1"/>
        <c:lblAlgn val="ctr"/>
        <c:lblOffset val="100"/>
      </c:catAx>
      <c:valAx>
        <c:axId val="150987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095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0.1085933250591742"/>
          <c:y val="0.18666083406240977"/>
          <c:w val="0.54663248489287652"/>
          <c:h val="0.73453740157480363"/>
        </c:manualLayout>
      </c:layout>
      <c:pieChart>
        <c:varyColors val="1"/>
        <c:ser>
          <c:idx val="0"/>
          <c:order val="0"/>
          <c:tx>
            <c:strRef>
              <c:f>'4. Transport'!$C$10</c:f>
              <c:strCache>
                <c:ptCount val="1"/>
                <c:pt idx="0">
                  <c:v>zużycie energii [MWh]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 Transport'!$B$11:$B$13</c:f>
              <c:strCache>
                <c:ptCount val="3"/>
                <c:pt idx="0">
                  <c:v>olej napędowy</c:v>
                </c:pt>
                <c:pt idx="1">
                  <c:v>benzyna</c:v>
                </c:pt>
                <c:pt idx="2">
                  <c:v>gaz LPG</c:v>
                </c:pt>
              </c:strCache>
            </c:strRef>
          </c:cat>
          <c:val>
            <c:numRef>
              <c:f>'4. Transport'!$C$11:$C$13</c:f>
              <c:numCache>
                <c:formatCode>#,##0.00</c:formatCode>
                <c:ptCount val="3"/>
                <c:pt idx="0">
                  <c:v>107569.52346560209</c:v>
                </c:pt>
                <c:pt idx="1">
                  <c:v>34058.732244805513</c:v>
                </c:pt>
                <c:pt idx="2">
                  <c:v>17249.743011438837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9.4812101975625146E-2"/>
          <c:y val="0.17277194517351988"/>
          <c:w val="0.55007779066376394"/>
          <c:h val="0.73916703120443283"/>
        </c:manualLayout>
      </c:layout>
      <c:pieChart>
        <c:varyColors val="1"/>
        <c:ser>
          <c:idx val="0"/>
          <c:order val="0"/>
          <c:tx>
            <c:strRef>
              <c:f>'4. Transport'!$E$10</c:f>
              <c:strCache>
                <c:ptCount val="1"/>
                <c:pt idx="0">
                  <c:v>emisja CO2 [Mg]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 Transport'!$B$11:$B$13</c:f>
              <c:strCache>
                <c:ptCount val="3"/>
                <c:pt idx="0">
                  <c:v>olej napędowy</c:v>
                </c:pt>
                <c:pt idx="1">
                  <c:v>benzyna</c:v>
                </c:pt>
                <c:pt idx="2">
                  <c:v>gaz LPG</c:v>
                </c:pt>
              </c:strCache>
            </c:strRef>
          </c:cat>
          <c:val>
            <c:numRef>
              <c:f>'4. Transport'!$E$11:$E$13</c:f>
              <c:numCache>
                <c:formatCode>#,##0.00</c:formatCode>
                <c:ptCount val="3"/>
                <c:pt idx="0">
                  <c:v>28398.354194918953</c:v>
                </c:pt>
                <c:pt idx="1">
                  <c:v>8412.5068644669609</c:v>
                </c:pt>
                <c:pt idx="2">
                  <c:v>3881.1921775737383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'4. Transport'!$C$36</c:f>
              <c:strCache>
                <c:ptCount val="1"/>
                <c:pt idx="0">
                  <c:v>zużycie energii [MWh]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Transport'!$B$37:$B$41</c:f>
              <c:strCache>
                <c:ptCount val="5"/>
                <c:pt idx="0">
                  <c:v>pojazdy gminne</c:v>
                </c:pt>
                <c:pt idx="1">
                  <c:v>PKS w Skierniewicach Sp. z o.o.</c:v>
                </c:pt>
                <c:pt idx="2">
                  <c:v>PKS Grójec Sp. z o.o.</c:v>
                </c:pt>
                <c:pt idx="3">
                  <c:v>gospodarka wod-kan</c:v>
                </c:pt>
                <c:pt idx="4">
                  <c:v>transport prywatny</c:v>
                </c:pt>
              </c:strCache>
            </c:strRef>
          </c:cat>
          <c:val>
            <c:numRef>
              <c:f>'4. Transport'!$C$37:$C$41</c:f>
              <c:numCache>
                <c:formatCode>#,##0.00</c:formatCode>
                <c:ptCount val="5"/>
                <c:pt idx="0">
                  <c:v>202.66947647611107</c:v>
                </c:pt>
                <c:pt idx="1">
                  <c:v>915.20395427999983</c:v>
                </c:pt>
                <c:pt idx="2">
                  <c:v>104.82332938</c:v>
                </c:pt>
                <c:pt idx="3">
                  <c:v>53.809544444444441</c:v>
                </c:pt>
                <c:pt idx="4">
                  <c:v>157601.49241726589</c:v>
                </c:pt>
              </c:numCache>
            </c:numRef>
          </c:val>
        </c:ser>
        <c:gapWidth val="219"/>
        <c:overlap val="-27"/>
        <c:axId val="151167360"/>
        <c:axId val="151168896"/>
      </c:barChart>
      <c:catAx>
        <c:axId val="1511673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168896"/>
        <c:crosses val="autoZero"/>
        <c:auto val="1"/>
        <c:lblAlgn val="ctr"/>
        <c:lblOffset val="100"/>
      </c:catAx>
      <c:valAx>
        <c:axId val="1511688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16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'4. Transport'!$E$36</c:f>
              <c:strCache>
                <c:ptCount val="1"/>
                <c:pt idx="0">
                  <c:v>emisja CO2 [Mg]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Transport'!$B$37:$B$41</c:f>
              <c:strCache>
                <c:ptCount val="5"/>
                <c:pt idx="0">
                  <c:v>pojazdy gminne</c:v>
                </c:pt>
                <c:pt idx="1">
                  <c:v>PKS w Skierniewicach Sp. z o.o.</c:v>
                </c:pt>
                <c:pt idx="2">
                  <c:v>PKS Grójec Sp. z o.o.</c:v>
                </c:pt>
                <c:pt idx="3">
                  <c:v>gospodarka wod-kan</c:v>
                </c:pt>
                <c:pt idx="4">
                  <c:v>transport prywatny</c:v>
                </c:pt>
              </c:strCache>
            </c:strRef>
          </c:cat>
          <c:val>
            <c:numRef>
              <c:f>'4. Transport'!$E$37:$E$41</c:f>
              <c:numCache>
                <c:formatCode>#,##0.00</c:formatCode>
                <c:ptCount val="5"/>
                <c:pt idx="0">
                  <c:v>52.708107594196107</c:v>
                </c:pt>
                <c:pt idx="1">
                  <c:v>241.61384392991997</c:v>
                </c:pt>
                <c:pt idx="2">
                  <c:v>27.673358956320001</c:v>
                </c:pt>
                <c:pt idx="3">
                  <c:v>14.030022844444442</c:v>
                </c:pt>
                <c:pt idx="4">
                  <c:v>40356.027903634771</c:v>
                </c:pt>
              </c:numCache>
            </c:numRef>
          </c:val>
        </c:ser>
        <c:gapWidth val="219"/>
        <c:overlap val="-27"/>
        <c:axId val="151193472"/>
        <c:axId val="151195008"/>
      </c:barChart>
      <c:catAx>
        <c:axId val="1511934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195008"/>
        <c:crosses val="autoZero"/>
        <c:auto val="1"/>
        <c:lblAlgn val="ctr"/>
        <c:lblOffset val="100"/>
      </c:catAx>
      <c:valAx>
        <c:axId val="1511950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19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0.1085933250591742"/>
          <c:y val="0.18666083406240977"/>
          <c:w val="0.54663248489287652"/>
          <c:h val="0.73453740157480363"/>
        </c:manualLayout>
      </c:layout>
      <c:pieChart>
        <c:varyColors val="1"/>
        <c:ser>
          <c:idx val="0"/>
          <c:order val="0"/>
          <c:tx>
            <c:strRef>
              <c:f>'4. Transport'!$C$36</c:f>
              <c:strCache>
                <c:ptCount val="1"/>
                <c:pt idx="0">
                  <c:v>zużycie energii [MWh]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 Transport'!$B$37:$B$41</c:f>
              <c:strCache>
                <c:ptCount val="5"/>
                <c:pt idx="0">
                  <c:v>pojazdy gminne</c:v>
                </c:pt>
                <c:pt idx="1">
                  <c:v>PKS w Skierniewicach Sp. z o.o.</c:v>
                </c:pt>
                <c:pt idx="2">
                  <c:v>PKS Grójec Sp. z o.o.</c:v>
                </c:pt>
                <c:pt idx="3">
                  <c:v>gospodarka wod-kan</c:v>
                </c:pt>
                <c:pt idx="4">
                  <c:v>transport prywatny</c:v>
                </c:pt>
              </c:strCache>
            </c:strRef>
          </c:cat>
          <c:val>
            <c:numRef>
              <c:f>'4. Transport'!$C$37:$C$41</c:f>
              <c:numCache>
                <c:formatCode>#,##0.00</c:formatCode>
                <c:ptCount val="5"/>
                <c:pt idx="0">
                  <c:v>202.66947647611107</c:v>
                </c:pt>
                <c:pt idx="1">
                  <c:v>915.20395427999983</c:v>
                </c:pt>
                <c:pt idx="2">
                  <c:v>104.82332938</c:v>
                </c:pt>
                <c:pt idx="3">
                  <c:v>53.809544444444441</c:v>
                </c:pt>
                <c:pt idx="4">
                  <c:v>157601.49241726589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0868312003637"/>
          <c:y val="0.17497338874307394"/>
          <c:w val="0.3282413341743135"/>
          <c:h val="0.7986176727909010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9.4812101975625146E-2"/>
          <c:y val="0.17277194517351988"/>
          <c:w val="0.55007779066376394"/>
          <c:h val="0.73916703120443283"/>
        </c:manualLayout>
      </c:layout>
      <c:pieChart>
        <c:varyColors val="1"/>
        <c:ser>
          <c:idx val="0"/>
          <c:order val="0"/>
          <c:tx>
            <c:strRef>
              <c:f>'4. Transport'!$E$36</c:f>
              <c:strCache>
                <c:ptCount val="1"/>
                <c:pt idx="0">
                  <c:v>emisja CO2 [Mg]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 Transport'!$B$37:$B$41</c:f>
              <c:strCache>
                <c:ptCount val="5"/>
                <c:pt idx="0">
                  <c:v>pojazdy gminne</c:v>
                </c:pt>
                <c:pt idx="1">
                  <c:v>PKS w Skierniewicach Sp. z o.o.</c:v>
                </c:pt>
                <c:pt idx="2">
                  <c:v>PKS Grójec Sp. z o.o.</c:v>
                </c:pt>
                <c:pt idx="3">
                  <c:v>gospodarka wod-kan</c:v>
                </c:pt>
                <c:pt idx="4">
                  <c:v>transport prywatny</c:v>
                </c:pt>
              </c:strCache>
            </c:strRef>
          </c:cat>
          <c:val>
            <c:numRef>
              <c:f>'4. Transport'!$E$37:$E$41</c:f>
              <c:numCache>
                <c:formatCode>#,##0.00</c:formatCode>
                <c:ptCount val="5"/>
                <c:pt idx="0">
                  <c:v>52.708107594196107</c:v>
                </c:pt>
                <c:pt idx="1">
                  <c:v>241.61384392991997</c:v>
                </c:pt>
                <c:pt idx="2">
                  <c:v>27.673358956320001</c:v>
                </c:pt>
                <c:pt idx="3">
                  <c:v>14.030022844444442</c:v>
                </c:pt>
                <c:pt idx="4">
                  <c:v>40356.027903634771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0868312003637"/>
          <c:y val="0.17497338874307394"/>
          <c:w val="0.3282413341743135"/>
          <c:h val="0.803247302420533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'5. Oświetlenie'!$B$6</c:f>
              <c:strCache>
                <c:ptCount val="1"/>
                <c:pt idx="0">
                  <c:v>zużycie energii [MWh]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 Oświetlenie'!$A$7</c:f>
              <c:strCache>
                <c:ptCount val="1"/>
                <c:pt idx="0">
                  <c:v>energia elektryczna</c:v>
                </c:pt>
              </c:strCache>
            </c:strRef>
          </c:cat>
          <c:val>
            <c:numRef>
              <c:f>'5. Oświetlenie'!$B$7</c:f>
              <c:numCache>
                <c:formatCode>#,##0.00</c:formatCode>
                <c:ptCount val="1"/>
                <c:pt idx="0">
                  <c:v>596.54</c:v>
                </c:pt>
              </c:numCache>
            </c:numRef>
          </c:val>
        </c:ser>
        <c:gapWidth val="219"/>
        <c:overlap val="-27"/>
        <c:axId val="151458560"/>
        <c:axId val="151460096"/>
      </c:barChart>
      <c:catAx>
        <c:axId val="1514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460096"/>
        <c:crosses val="autoZero"/>
        <c:auto val="1"/>
        <c:lblAlgn val="ctr"/>
        <c:lblOffset val="100"/>
      </c:catAx>
      <c:valAx>
        <c:axId val="151460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4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'5. Oświetlenie'!$D$6</c:f>
              <c:strCache>
                <c:ptCount val="1"/>
                <c:pt idx="0">
                  <c:v>emisja CO2 [Mg]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 Oświetlenie'!$A$7</c:f>
              <c:strCache>
                <c:ptCount val="1"/>
                <c:pt idx="0">
                  <c:v>energia elektryczna</c:v>
                </c:pt>
              </c:strCache>
            </c:strRef>
          </c:cat>
          <c:val>
            <c:numRef>
              <c:f>'5. Oświetlenie'!$D$7</c:f>
              <c:numCache>
                <c:formatCode>#,##0.00</c:formatCode>
                <c:ptCount val="1"/>
                <c:pt idx="0">
                  <c:v>496.32127999999994</c:v>
                </c:pt>
              </c:numCache>
            </c:numRef>
          </c:val>
        </c:ser>
        <c:gapWidth val="219"/>
        <c:overlap val="-27"/>
        <c:axId val="151513344"/>
        <c:axId val="151269376"/>
      </c:barChart>
      <c:catAx>
        <c:axId val="151513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269376"/>
        <c:crosses val="autoZero"/>
        <c:auto val="1"/>
        <c:lblAlgn val="ctr"/>
        <c:lblOffset val="100"/>
      </c:catAx>
      <c:valAx>
        <c:axId val="1512693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51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'6. Wod-kan'!$C$2</c:f>
              <c:strCache>
                <c:ptCount val="1"/>
                <c:pt idx="0">
                  <c:v>zużycie energii [MWh]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Wod-kan'!$B$3</c:f>
              <c:strCache>
                <c:ptCount val="1"/>
                <c:pt idx="0">
                  <c:v>energia elektryczna</c:v>
                </c:pt>
              </c:strCache>
            </c:strRef>
          </c:cat>
          <c:val>
            <c:numRef>
              <c:f>'6. Wod-kan'!$C$3</c:f>
              <c:numCache>
                <c:formatCode>#,##0.00</c:formatCode>
                <c:ptCount val="1"/>
                <c:pt idx="0">
                  <c:v>503.30900000000003</c:v>
                </c:pt>
              </c:numCache>
            </c:numRef>
          </c:val>
        </c:ser>
        <c:gapWidth val="219"/>
        <c:overlap val="-27"/>
        <c:axId val="151552384"/>
        <c:axId val="151553920"/>
      </c:barChart>
      <c:catAx>
        <c:axId val="1515523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553920"/>
        <c:crosses val="autoZero"/>
        <c:auto val="1"/>
        <c:lblAlgn val="ctr"/>
        <c:lblOffset val="100"/>
      </c:catAx>
      <c:valAx>
        <c:axId val="1515539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55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'2. Użyteczność publiczna'!$E$47</c:f>
              <c:strCache>
                <c:ptCount val="1"/>
                <c:pt idx="0">
                  <c:v>emisja CO2 [Mg]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Użyteczność publiczna'!$B$48:$B$54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olej opałowy</c:v>
                </c:pt>
                <c:pt idx="4">
                  <c:v>biomasa</c:v>
                </c:pt>
                <c:pt idx="5">
                  <c:v>gaz ziemny</c:v>
                </c:pt>
                <c:pt idx="6">
                  <c:v>gaz płynny</c:v>
                </c:pt>
              </c:strCache>
            </c:strRef>
          </c:cat>
          <c:val>
            <c:numRef>
              <c:f>'2. Użyteczność publiczna'!$E$48:$E$54</c:f>
              <c:numCache>
                <c:formatCode>#,##0.00</c:formatCode>
                <c:ptCount val="7"/>
                <c:pt idx="0">
                  <c:v>240.20588800000002</c:v>
                </c:pt>
                <c:pt idx="1">
                  <c:v>7.3262780555555551</c:v>
                </c:pt>
                <c:pt idx="2">
                  <c:v>255.75558861111114</c:v>
                </c:pt>
                <c:pt idx="3">
                  <c:v>280.61035384100001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gapWidth val="219"/>
        <c:overlap val="-27"/>
        <c:axId val="150606208"/>
        <c:axId val="150607744"/>
      </c:barChart>
      <c:catAx>
        <c:axId val="1506062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0607744"/>
        <c:crosses val="autoZero"/>
        <c:auto val="1"/>
        <c:lblAlgn val="ctr"/>
        <c:lblOffset val="100"/>
      </c:catAx>
      <c:valAx>
        <c:axId val="1506077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060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'6. Wod-kan'!$F$2</c:f>
              <c:strCache>
                <c:ptCount val="1"/>
                <c:pt idx="0">
                  <c:v>emisja CO2 [Mg]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Wod-kan'!$B$3</c:f>
              <c:strCache>
                <c:ptCount val="1"/>
                <c:pt idx="0">
                  <c:v>energia elektryczna</c:v>
                </c:pt>
              </c:strCache>
            </c:strRef>
          </c:cat>
          <c:val>
            <c:numRef>
              <c:f>'6. Wod-kan'!$F$3</c:f>
              <c:numCache>
                <c:formatCode>#,##0.00</c:formatCode>
                <c:ptCount val="1"/>
                <c:pt idx="0">
                  <c:v>418.75308799999999</c:v>
                </c:pt>
              </c:numCache>
            </c:numRef>
          </c:val>
        </c:ser>
        <c:gapWidth val="219"/>
        <c:overlap val="-27"/>
        <c:axId val="151668608"/>
        <c:axId val="151670144"/>
      </c:barChart>
      <c:catAx>
        <c:axId val="151668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670144"/>
        <c:crosses val="autoZero"/>
        <c:auto val="1"/>
        <c:lblAlgn val="ctr"/>
        <c:lblOffset val="100"/>
      </c:catAx>
      <c:valAx>
        <c:axId val="1516701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66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 Przemysł i usługi'!$B$27:$B$33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gaz ziemny</c:v>
                </c:pt>
                <c:pt idx="3">
                  <c:v>węgiel kamienny</c:v>
                </c:pt>
                <c:pt idx="4">
                  <c:v>biomasa</c:v>
                </c:pt>
                <c:pt idx="5">
                  <c:v>olej opałowy</c:v>
                </c:pt>
                <c:pt idx="6">
                  <c:v>gaz płynny</c:v>
                </c:pt>
              </c:strCache>
            </c:strRef>
          </c:cat>
          <c:val>
            <c:numRef>
              <c:f>'7. Przemysł i usługi'!$C$27:$C$33</c:f>
              <c:numCache>
                <c:formatCode>#,##0.00</c:formatCode>
                <c:ptCount val="7"/>
                <c:pt idx="0">
                  <c:v>29723.498</c:v>
                </c:pt>
                <c:pt idx="1">
                  <c:v>431.75250000000005</c:v>
                </c:pt>
                <c:pt idx="2">
                  <c:v>832.65860563199988</c:v>
                </c:pt>
                <c:pt idx="3">
                  <c:v>8214.0072142319987</c:v>
                </c:pt>
                <c:pt idx="4">
                  <c:v>7194.4252481519989</c:v>
                </c:pt>
                <c:pt idx="5">
                  <c:v>2296.1835527759999</c:v>
                </c:pt>
                <c:pt idx="6">
                  <c:v>2123.8360086673333</c:v>
                </c:pt>
              </c:numCache>
            </c:numRef>
          </c:val>
        </c:ser>
        <c:gapWidth val="219"/>
        <c:overlap val="-27"/>
        <c:axId val="151711744"/>
        <c:axId val="151713280"/>
      </c:barChart>
      <c:catAx>
        <c:axId val="151711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713280"/>
        <c:crosses val="autoZero"/>
        <c:auto val="1"/>
        <c:lblAlgn val="ctr"/>
        <c:lblOffset val="100"/>
      </c:catAx>
      <c:valAx>
        <c:axId val="151713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71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'7. Przemysł i usługi'!$E$26</c:f>
              <c:strCache>
                <c:ptCount val="1"/>
                <c:pt idx="0">
                  <c:v>emisja CO2 [Mg]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 Przemysł i usługi'!$B$27:$B$33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gaz ziemny</c:v>
                </c:pt>
                <c:pt idx="3">
                  <c:v>węgiel kamienny</c:v>
                </c:pt>
                <c:pt idx="4">
                  <c:v>biomasa</c:v>
                </c:pt>
                <c:pt idx="5">
                  <c:v>olej opałowy</c:v>
                </c:pt>
                <c:pt idx="6">
                  <c:v>gaz płynny</c:v>
                </c:pt>
              </c:strCache>
            </c:strRef>
          </c:cat>
          <c:val>
            <c:numRef>
              <c:f>'7. Przemysł i usługi'!$E$27:$E$33</c:f>
              <c:numCache>
                <c:formatCode>#,##0.00</c:formatCode>
                <c:ptCount val="7"/>
                <c:pt idx="0">
                  <c:v>24729.950335999998</c:v>
                </c:pt>
                <c:pt idx="1">
                  <c:v>4.7492775000000007</c:v>
                </c:pt>
                <c:pt idx="2">
                  <c:v>167.36437973203198</c:v>
                </c:pt>
                <c:pt idx="3">
                  <c:v>2800.9764600531116</c:v>
                </c:pt>
                <c:pt idx="4">
                  <c:v>0</c:v>
                </c:pt>
                <c:pt idx="5">
                  <c:v>633.74666056617605</c:v>
                </c:pt>
                <c:pt idx="6">
                  <c:v>477.86310195015</c:v>
                </c:pt>
              </c:numCache>
            </c:numRef>
          </c:val>
        </c:ser>
        <c:gapWidth val="219"/>
        <c:overlap val="-27"/>
        <c:axId val="151630592"/>
        <c:axId val="151632128"/>
      </c:barChart>
      <c:catAx>
        <c:axId val="151630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632128"/>
        <c:crosses val="autoZero"/>
        <c:auto val="1"/>
        <c:lblAlgn val="ctr"/>
        <c:lblOffset val="100"/>
      </c:catAx>
      <c:valAx>
        <c:axId val="1516321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63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0.1085933250591742"/>
          <c:y val="0.18666083406240977"/>
          <c:w val="0.54663248489287652"/>
          <c:h val="0.73453740157480363"/>
        </c:manualLayout>
      </c:layout>
      <c:pieChart>
        <c:varyColors val="1"/>
        <c:ser>
          <c:idx val="0"/>
          <c:order val="0"/>
          <c:tx>
            <c:strRef>
              <c:f>'7. Przemysł i usługi'!$C$26</c:f>
              <c:strCache>
                <c:ptCount val="1"/>
                <c:pt idx="0">
                  <c:v>zużycie energii [MWh]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'7. Przemysł i usługi'!$B$27:$B$33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gaz ziemny</c:v>
                </c:pt>
                <c:pt idx="3">
                  <c:v>węgiel kamienny</c:v>
                </c:pt>
                <c:pt idx="4">
                  <c:v>biomasa</c:v>
                </c:pt>
                <c:pt idx="5">
                  <c:v>olej opałowy</c:v>
                </c:pt>
                <c:pt idx="6">
                  <c:v>gaz płynny</c:v>
                </c:pt>
              </c:strCache>
            </c:strRef>
          </c:cat>
          <c:val>
            <c:numRef>
              <c:f>'7. Przemysł i usługi'!$C$27:$C$33</c:f>
              <c:numCache>
                <c:formatCode>#,##0.00</c:formatCode>
                <c:ptCount val="7"/>
                <c:pt idx="0">
                  <c:v>29723.498</c:v>
                </c:pt>
                <c:pt idx="1">
                  <c:v>431.75250000000005</c:v>
                </c:pt>
                <c:pt idx="2">
                  <c:v>832.65860563199988</c:v>
                </c:pt>
                <c:pt idx="3">
                  <c:v>8214.0072142319987</c:v>
                </c:pt>
                <c:pt idx="4">
                  <c:v>7194.4252481519989</c:v>
                </c:pt>
                <c:pt idx="5">
                  <c:v>2296.1835527759999</c:v>
                </c:pt>
                <c:pt idx="6">
                  <c:v>2123.8360086673333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0.1085933250591742"/>
          <c:y val="0.18666083406240977"/>
          <c:w val="0.54663248489287652"/>
          <c:h val="0.73453740157480363"/>
        </c:manualLayout>
      </c:layout>
      <c:pieChart>
        <c:varyColors val="1"/>
        <c:ser>
          <c:idx val="0"/>
          <c:order val="0"/>
          <c:tx>
            <c:strRef>
              <c:f>'7. Przemysł i usługi'!$E$26</c:f>
              <c:strCache>
                <c:ptCount val="1"/>
                <c:pt idx="0">
                  <c:v>emisja CO2 [Mg]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'7. Przemysł i usługi'!$B$27:$B$33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gaz ziemny</c:v>
                </c:pt>
                <c:pt idx="3">
                  <c:v>węgiel kamienny</c:v>
                </c:pt>
                <c:pt idx="4">
                  <c:v>biomasa</c:v>
                </c:pt>
                <c:pt idx="5">
                  <c:v>olej opałowy</c:v>
                </c:pt>
                <c:pt idx="6">
                  <c:v>gaz płynny</c:v>
                </c:pt>
              </c:strCache>
            </c:strRef>
          </c:cat>
          <c:val>
            <c:numRef>
              <c:f>'7. Przemysł i usługi'!$E$27:$E$33</c:f>
              <c:numCache>
                <c:formatCode>#,##0.00</c:formatCode>
                <c:ptCount val="7"/>
                <c:pt idx="0">
                  <c:v>24729.950335999998</c:v>
                </c:pt>
                <c:pt idx="1">
                  <c:v>4.7492775000000007</c:v>
                </c:pt>
                <c:pt idx="2">
                  <c:v>167.36437973203198</c:v>
                </c:pt>
                <c:pt idx="3">
                  <c:v>2800.9764600531116</c:v>
                </c:pt>
                <c:pt idx="4">
                  <c:v>0</c:v>
                </c:pt>
                <c:pt idx="5">
                  <c:v>633.74666056617605</c:v>
                </c:pt>
                <c:pt idx="6">
                  <c:v>477.86310195015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Zużycie energii [MWh]</a:t>
            </a:r>
            <a:r>
              <a:rPr lang="pl-PL" baseline="0"/>
              <a:t> - Gmina Biała Rawska</a:t>
            </a:r>
            <a:endParaRPr lang="pl-PL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Podsumowanie'!$B$3:$B$8</c:f>
              <c:strCache>
                <c:ptCount val="6"/>
                <c:pt idx="0">
                  <c:v>użyteczność publiczna</c:v>
                </c:pt>
                <c:pt idx="1">
                  <c:v>mieszkalnictwo</c:v>
                </c:pt>
                <c:pt idx="2">
                  <c:v>transport</c:v>
                </c:pt>
                <c:pt idx="3">
                  <c:v>oświetlenie publiczne</c:v>
                </c:pt>
                <c:pt idx="4">
                  <c:v>gospodarka wodno-ściekowa</c:v>
                </c:pt>
                <c:pt idx="5">
                  <c:v>przemysł i usługi</c:v>
                </c:pt>
              </c:strCache>
            </c:strRef>
          </c:cat>
          <c:val>
            <c:numRef>
              <c:f>'8. Podsumowanie'!$C$3:$C$8</c:f>
              <c:numCache>
                <c:formatCode>#,##0.00</c:formatCode>
                <c:ptCount val="6"/>
                <c:pt idx="0">
                  <c:v>2763.1215139166666</c:v>
                </c:pt>
                <c:pt idx="1">
                  <c:v>43463.95755087502</c:v>
                </c:pt>
                <c:pt idx="2">
                  <c:v>158877.99872184644</c:v>
                </c:pt>
                <c:pt idx="3">
                  <c:v>596.54</c:v>
                </c:pt>
                <c:pt idx="4">
                  <c:v>503.30900000000003</c:v>
                </c:pt>
                <c:pt idx="5">
                  <c:v>50816.361129459336</c:v>
                </c:pt>
              </c:numCache>
            </c:numRef>
          </c:val>
        </c:ser>
        <c:gapWidth val="219"/>
        <c:overlap val="-27"/>
        <c:axId val="151933696"/>
        <c:axId val="151935232"/>
      </c:barChart>
      <c:catAx>
        <c:axId val="151933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935232"/>
        <c:crosses val="autoZero"/>
        <c:auto val="1"/>
        <c:lblAlgn val="ctr"/>
        <c:lblOffset val="100"/>
      </c:catAx>
      <c:valAx>
        <c:axId val="1519352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93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baseline="0">
                <a:effectLst/>
              </a:rPr>
              <a:t>Emisja CO</a:t>
            </a:r>
            <a:r>
              <a:rPr lang="pl-PL" sz="1400" b="0" i="0" u="none" strike="noStrike" baseline="-25000">
                <a:effectLst/>
              </a:rPr>
              <a:t>2</a:t>
            </a:r>
            <a:r>
              <a:rPr lang="pl-PL" sz="1400" b="0" i="0" u="none" strike="noStrike" baseline="0">
                <a:effectLst/>
              </a:rPr>
              <a:t> [Mg]</a:t>
            </a:r>
            <a:r>
              <a:rPr lang="pl-PL" baseline="0"/>
              <a:t> - </a:t>
            </a:r>
            <a:r>
              <a:rPr lang="pl-PL" sz="1400" b="0" i="0" u="none" strike="noStrike" baseline="0">
                <a:effectLst/>
              </a:rPr>
              <a:t>Gmina Biała Rawska</a:t>
            </a:r>
            <a:endParaRPr lang="pl-PL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Podsumowanie'!$B$3:$B$8</c:f>
              <c:strCache>
                <c:ptCount val="6"/>
                <c:pt idx="0">
                  <c:v>użyteczność publiczna</c:v>
                </c:pt>
                <c:pt idx="1">
                  <c:v>mieszkalnictwo</c:v>
                </c:pt>
                <c:pt idx="2">
                  <c:v>transport</c:v>
                </c:pt>
                <c:pt idx="3">
                  <c:v>oświetlenie publiczne</c:v>
                </c:pt>
                <c:pt idx="4">
                  <c:v>gospodarka wodno-ściekowa</c:v>
                </c:pt>
                <c:pt idx="5">
                  <c:v>przemysł i usługi</c:v>
                </c:pt>
              </c:strCache>
            </c:strRef>
          </c:cat>
          <c:val>
            <c:numRef>
              <c:f>'8. Podsumowanie'!$E$3:$E$8</c:f>
              <c:numCache>
                <c:formatCode>#,##0.00</c:formatCode>
                <c:ptCount val="6"/>
                <c:pt idx="0">
                  <c:v>783.89810850766673</c:v>
                </c:pt>
                <c:pt idx="1">
                  <c:v>13388.086635297033</c:v>
                </c:pt>
                <c:pt idx="2">
                  <c:v>40692.053236959648</c:v>
                </c:pt>
                <c:pt idx="3">
                  <c:v>496.32127999999994</c:v>
                </c:pt>
                <c:pt idx="4">
                  <c:v>418.75308799999999</c:v>
                </c:pt>
                <c:pt idx="5">
                  <c:v>28814.65021580147</c:v>
                </c:pt>
              </c:numCache>
            </c:numRef>
          </c:val>
        </c:ser>
        <c:gapWidth val="219"/>
        <c:overlap val="-27"/>
        <c:axId val="151975808"/>
        <c:axId val="151977344"/>
      </c:barChart>
      <c:catAx>
        <c:axId val="151975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977344"/>
        <c:crosses val="autoZero"/>
        <c:auto val="1"/>
        <c:lblAlgn val="ctr"/>
        <c:lblOffset val="100"/>
      </c:catAx>
      <c:valAx>
        <c:axId val="151977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9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baseline="0">
                <a:effectLst/>
              </a:rPr>
              <a:t>Zużycie energii [MWh] - </a:t>
            </a:r>
            <a:r>
              <a:rPr lang="pl-PL" sz="1400" b="0" i="0" u="none" strike="noStrike" baseline="0">
                <a:effectLst/>
              </a:rPr>
              <a:t>Gmina Biała Rawska</a:t>
            </a:r>
            <a:endParaRPr lang="pl-PL" sz="14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539851268591425"/>
          <c:y val="0.14333041703120444"/>
          <c:w val="0.49214238845144381"/>
          <c:h val="0.820237314085739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 Podsumowanie'!$B$3:$B$8</c:f>
              <c:strCache>
                <c:ptCount val="6"/>
                <c:pt idx="0">
                  <c:v>użyteczność publiczna</c:v>
                </c:pt>
                <c:pt idx="1">
                  <c:v>mieszkalnictwo</c:v>
                </c:pt>
                <c:pt idx="2">
                  <c:v>transport</c:v>
                </c:pt>
                <c:pt idx="3">
                  <c:v>oświetlenie publiczne</c:v>
                </c:pt>
                <c:pt idx="4">
                  <c:v>gospodarka wodno-ściekowa</c:v>
                </c:pt>
                <c:pt idx="5">
                  <c:v>przemysł i usługi</c:v>
                </c:pt>
              </c:strCache>
            </c:strRef>
          </c:cat>
          <c:val>
            <c:numRef>
              <c:f>'8. Podsumowanie'!$C$3:$C$8</c:f>
              <c:numCache>
                <c:formatCode>#,##0.00</c:formatCode>
                <c:ptCount val="6"/>
                <c:pt idx="0">
                  <c:v>2763.1215139166666</c:v>
                </c:pt>
                <c:pt idx="1">
                  <c:v>43463.95755087502</c:v>
                </c:pt>
                <c:pt idx="2">
                  <c:v>158877.99872184644</c:v>
                </c:pt>
                <c:pt idx="3">
                  <c:v>596.54</c:v>
                </c:pt>
                <c:pt idx="4">
                  <c:v>503.30900000000003</c:v>
                </c:pt>
                <c:pt idx="5">
                  <c:v>50816.361129459336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baseline="0">
                <a:effectLst/>
              </a:rPr>
              <a:t>Emisja CO</a:t>
            </a:r>
            <a:r>
              <a:rPr lang="pl-PL" sz="1400" b="0" i="0" baseline="-25000">
                <a:effectLst/>
              </a:rPr>
              <a:t>2</a:t>
            </a:r>
            <a:r>
              <a:rPr lang="pl-PL" sz="1400" b="0" i="0" baseline="0">
                <a:effectLst/>
              </a:rPr>
              <a:t> [Mg] - </a:t>
            </a:r>
            <a:r>
              <a:rPr lang="pl-PL" sz="1400" b="0" i="0" u="none" strike="noStrike" baseline="0">
                <a:effectLst/>
              </a:rPr>
              <a:t>Gmina Biała Rawska</a:t>
            </a:r>
            <a:endParaRPr lang="pl-PL" sz="14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539851268591425"/>
          <c:y val="0.14333041703120444"/>
          <c:w val="0.49214238845144381"/>
          <c:h val="0.820237314085739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 Podsumowanie'!$B$3:$B$8</c:f>
              <c:strCache>
                <c:ptCount val="6"/>
                <c:pt idx="0">
                  <c:v>użyteczność publiczna</c:v>
                </c:pt>
                <c:pt idx="1">
                  <c:v>mieszkalnictwo</c:v>
                </c:pt>
                <c:pt idx="2">
                  <c:v>transport</c:v>
                </c:pt>
                <c:pt idx="3">
                  <c:v>oświetlenie publiczne</c:v>
                </c:pt>
                <c:pt idx="4">
                  <c:v>gospodarka wodno-ściekowa</c:v>
                </c:pt>
                <c:pt idx="5">
                  <c:v>przemysł i usługi</c:v>
                </c:pt>
              </c:strCache>
            </c:strRef>
          </c:cat>
          <c:val>
            <c:numRef>
              <c:f>'8. Podsumowanie'!$E$3:$E$8</c:f>
              <c:numCache>
                <c:formatCode>#,##0.00</c:formatCode>
                <c:ptCount val="6"/>
                <c:pt idx="0">
                  <c:v>783.89810850766673</c:v>
                </c:pt>
                <c:pt idx="1">
                  <c:v>13388.086635297033</c:v>
                </c:pt>
                <c:pt idx="2">
                  <c:v>40692.053236959648</c:v>
                </c:pt>
                <c:pt idx="3">
                  <c:v>496.32127999999994</c:v>
                </c:pt>
                <c:pt idx="4">
                  <c:v>418.75308799999999</c:v>
                </c:pt>
                <c:pt idx="5">
                  <c:v>28814.65021580147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Zużycie energii [MWh]</a:t>
            </a:r>
            <a:r>
              <a:rPr lang="pl-PL" baseline="0"/>
              <a:t> - Gmina Biała Rawska</a:t>
            </a:r>
            <a:endParaRPr lang="pl-PL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Podsumowanie'!$B$28:$B$37</c:f>
              <c:strCache>
                <c:ptCount val="10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gaz ziemny</c:v>
                </c:pt>
                <c:pt idx="4">
                  <c:v>gaz płynny</c:v>
                </c:pt>
                <c:pt idx="5">
                  <c:v>olej opałowy</c:v>
                </c:pt>
                <c:pt idx="6">
                  <c:v>biomasa</c:v>
                </c:pt>
                <c:pt idx="7">
                  <c:v>olej napędowy</c:v>
                </c:pt>
                <c:pt idx="8">
                  <c:v>benzyna</c:v>
                </c:pt>
                <c:pt idx="9">
                  <c:v>gaz LPG</c:v>
                </c:pt>
              </c:strCache>
            </c:strRef>
          </c:cat>
          <c:val>
            <c:numRef>
              <c:f>'8. Podsumowanie'!$C$28:$C$37</c:f>
              <c:numCache>
                <c:formatCode>#,##0.00</c:formatCode>
                <c:ptCount val="10"/>
                <c:pt idx="0">
                  <c:v>40358.586000000003</c:v>
                </c:pt>
                <c:pt idx="1">
                  <c:v>2935.8333333333335</c:v>
                </c:pt>
                <c:pt idx="2">
                  <c:v>21645.766278320887</c:v>
                </c:pt>
                <c:pt idx="3">
                  <c:v>958.75527229866657</c:v>
                </c:pt>
                <c:pt idx="4">
                  <c:v>4070.2221718801329</c:v>
                </c:pt>
                <c:pt idx="5">
                  <c:v>6526.6503971993334</c:v>
                </c:pt>
                <c:pt idx="6">
                  <c:v>21647.475741218663</c:v>
                </c:pt>
                <c:pt idx="7">
                  <c:v>107569.52346560209</c:v>
                </c:pt>
                <c:pt idx="8">
                  <c:v>34058.732244805513</c:v>
                </c:pt>
                <c:pt idx="9">
                  <c:v>17249.743011438837</c:v>
                </c:pt>
              </c:numCache>
            </c:numRef>
          </c:val>
        </c:ser>
        <c:gapWidth val="219"/>
        <c:overlap val="-27"/>
        <c:axId val="152163072"/>
        <c:axId val="152164608"/>
      </c:barChart>
      <c:catAx>
        <c:axId val="1521630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164608"/>
        <c:crosses val="autoZero"/>
        <c:auto val="1"/>
        <c:lblAlgn val="ctr"/>
        <c:lblOffset val="100"/>
      </c:catAx>
      <c:valAx>
        <c:axId val="1521646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16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0.1085933250591742"/>
          <c:y val="0.18666083406240977"/>
          <c:w val="0.54663248489287652"/>
          <c:h val="0.73453740157480363"/>
        </c:manualLayout>
      </c:layout>
      <c:pieChart>
        <c:varyColors val="1"/>
        <c:ser>
          <c:idx val="0"/>
          <c:order val="0"/>
          <c:tx>
            <c:strRef>
              <c:f>'2. Użyteczność publiczna'!$C$47</c:f>
              <c:strCache>
                <c:ptCount val="1"/>
                <c:pt idx="0">
                  <c:v>zużycie energii [MWh]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1.1788913982651418E-2"/>
                  <c:y val="-1.6127150772820124E-3"/>
                </c:manualLayout>
              </c:layout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744199610707575E-2"/>
                  <c:y val="-4.9507874015748419E-3"/>
                </c:manualLayout>
              </c:layout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 Użyteczność publiczna'!$B$48:$B$54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olej opałowy</c:v>
                </c:pt>
                <c:pt idx="4">
                  <c:v>biomasa</c:v>
                </c:pt>
                <c:pt idx="5">
                  <c:v>gaz ziemny</c:v>
                </c:pt>
                <c:pt idx="6">
                  <c:v>gaz płynny</c:v>
                </c:pt>
              </c:strCache>
            </c:strRef>
          </c:cat>
          <c:val>
            <c:numRef>
              <c:f>'2. Użyteczność publiczna'!$C$48:$C$54</c:f>
              <c:numCache>
                <c:formatCode>#,##0.00</c:formatCode>
                <c:ptCount val="7"/>
                <c:pt idx="0">
                  <c:v>288.709</c:v>
                </c:pt>
                <c:pt idx="1">
                  <c:v>666.02527777777777</c:v>
                </c:pt>
                <c:pt idx="2">
                  <c:v>750.01638888888897</c:v>
                </c:pt>
                <c:pt idx="3">
                  <c:v>1016.7041805833333</c:v>
                </c:pt>
                <c:pt idx="4">
                  <c:v>41.666666666666664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baseline="0">
                <a:effectLst/>
              </a:rPr>
              <a:t>Emisja CO</a:t>
            </a:r>
            <a:r>
              <a:rPr lang="pl-PL" sz="1400" b="0" i="0" baseline="-25000">
                <a:effectLst/>
              </a:rPr>
              <a:t>2</a:t>
            </a:r>
            <a:r>
              <a:rPr lang="pl-PL" sz="1400" b="0" i="0" baseline="0">
                <a:effectLst/>
              </a:rPr>
              <a:t> [Mg] - Gmina Biała Rawska</a:t>
            </a:r>
            <a:endParaRPr lang="pl-PL" sz="14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Podsumowanie'!$B$28:$B$37</c:f>
              <c:strCache>
                <c:ptCount val="10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gaz ziemny</c:v>
                </c:pt>
                <c:pt idx="4">
                  <c:v>gaz płynny</c:v>
                </c:pt>
                <c:pt idx="5">
                  <c:v>olej opałowy</c:v>
                </c:pt>
                <c:pt idx="6">
                  <c:v>biomasa</c:v>
                </c:pt>
                <c:pt idx="7">
                  <c:v>olej napędowy</c:v>
                </c:pt>
                <c:pt idx="8">
                  <c:v>benzyna</c:v>
                </c:pt>
                <c:pt idx="9">
                  <c:v>gaz LPG</c:v>
                </c:pt>
              </c:strCache>
            </c:strRef>
          </c:cat>
          <c:val>
            <c:numRef>
              <c:f>'8. Podsumowanie'!$E$28:$E$37</c:f>
              <c:numCache>
                <c:formatCode>#,##0.00</c:formatCode>
                <c:ptCount val="10"/>
                <c:pt idx="0">
                  <c:v>33578.343551999998</c:v>
                </c:pt>
                <c:pt idx="1">
                  <c:v>32.294166666666662</c:v>
                </c:pt>
                <c:pt idx="2">
                  <c:v>7381.2063009074236</c:v>
                </c:pt>
                <c:pt idx="3">
                  <c:v>192.70980973203197</c:v>
                </c:pt>
                <c:pt idx="4">
                  <c:v>915.79998867302993</c:v>
                </c:pt>
                <c:pt idx="5">
                  <c:v>1801.3555096270161</c:v>
                </c:pt>
                <c:pt idx="6">
                  <c:v>0</c:v>
                </c:pt>
                <c:pt idx="7">
                  <c:v>28398.354194918953</c:v>
                </c:pt>
                <c:pt idx="8">
                  <c:v>8412.5068644669609</c:v>
                </c:pt>
                <c:pt idx="9">
                  <c:v>3881.1921775737383</c:v>
                </c:pt>
              </c:numCache>
            </c:numRef>
          </c:val>
        </c:ser>
        <c:gapWidth val="219"/>
        <c:overlap val="-27"/>
        <c:axId val="152221568"/>
        <c:axId val="152223104"/>
      </c:barChart>
      <c:catAx>
        <c:axId val="1522215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223104"/>
        <c:crosses val="autoZero"/>
        <c:auto val="1"/>
        <c:lblAlgn val="ctr"/>
        <c:lblOffset val="100"/>
      </c:catAx>
      <c:valAx>
        <c:axId val="1522231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22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baseline="0">
                <a:effectLst/>
              </a:rPr>
              <a:t>Zużycie energii [MWh] - Gmina Biała Rawska</a:t>
            </a:r>
            <a:endParaRPr lang="pl-PL" sz="14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539851268591425"/>
          <c:y val="0.14333041703120444"/>
          <c:w val="0.49214238845144381"/>
          <c:h val="0.820237314085739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 Podsumowanie'!$B$28:$B$37</c:f>
              <c:strCache>
                <c:ptCount val="10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gaz ziemny</c:v>
                </c:pt>
                <c:pt idx="4">
                  <c:v>gaz płynny</c:v>
                </c:pt>
                <c:pt idx="5">
                  <c:v>olej opałowy</c:v>
                </c:pt>
                <c:pt idx="6">
                  <c:v>biomasa</c:v>
                </c:pt>
                <c:pt idx="7">
                  <c:v>olej napędowy</c:v>
                </c:pt>
                <c:pt idx="8">
                  <c:v>benzyna</c:v>
                </c:pt>
                <c:pt idx="9">
                  <c:v>gaz LPG</c:v>
                </c:pt>
              </c:strCache>
            </c:strRef>
          </c:cat>
          <c:val>
            <c:numRef>
              <c:f>'8. Podsumowanie'!$C$28:$C$37</c:f>
              <c:numCache>
                <c:formatCode>#,##0.00</c:formatCode>
                <c:ptCount val="10"/>
                <c:pt idx="0">
                  <c:v>40358.586000000003</c:v>
                </c:pt>
                <c:pt idx="1">
                  <c:v>2935.8333333333335</c:v>
                </c:pt>
                <c:pt idx="2">
                  <c:v>21645.766278320887</c:v>
                </c:pt>
                <c:pt idx="3">
                  <c:v>958.75527229866657</c:v>
                </c:pt>
                <c:pt idx="4">
                  <c:v>4070.2221718801329</c:v>
                </c:pt>
                <c:pt idx="5">
                  <c:v>6526.6503971993334</c:v>
                </c:pt>
                <c:pt idx="6">
                  <c:v>21647.475741218663</c:v>
                </c:pt>
                <c:pt idx="7">
                  <c:v>107569.52346560209</c:v>
                </c:pt>
                <c:pt idx="8">
                  <c:v>34058.732244805513</c:v>
                </c:pt>
                <c:pt idx="9">
                  <c:v>17249.743011438837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baseline="0">
                <a:effectLst/>
              </a:rPr>
              <a:t>Emisja CO</a:t>
            </a:r>
            <a:r>
              <a:rPr lang="pl-PL" sz="1400" b="0" i="0" baseline="-25000">
                <a:effectLst/>
              </a:rPr>
              <a:t>2</a:t>
            </a:r>
            <a:r>
              <a:rPr lang="pl-PL" sz="1400" b="0" i="0" baseline="0">
                <a:effectLst/>
              </a:rPr>
              <a:t> [Mg] - Gmina Biała Rawska</a:t>
            </a:r>
            <a:endParaRPr lang="pl-PL" sz="14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539851268591425"/>
          <c:y val="0.14333041703120444"/>
          <c:w val="0.49214238845144381"/>
          <c:h val="0.820237314085739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 Podsumowanie'!$B$28:$B$37</c:f>
              <c:strCache>
                <c:ptCount val="10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gaz ziemny</c:v>
                </c:pt>
                <c:pt idx="4">
                  <c:v>gaz płynny</c:v>
                </c:pt>
                <c:pt idx="5">
                  <c:v>olej opałowy</c:v>
                </c:pt>
                <c:pt idx="6">
                  <c:v>biomasa</c:v>
                </c:pt>
                <c:pt idx="7">
                  <c:v>olej napędowy</c:v>
                </c:pt>
                <c:pt idx="8">
                  <c:v>benzyna</c:v>
                </c:pt>
                <c:pt idx="9">
                  <c:v>gaz LPG</c:v>
                </c:pt>
              </c:strCache>
            </c:strRef>
          </c:cat>
          <c:val>
            <c:numRef>
              <c:f>'8. Podsumowanie'!$E$28:$E$37</c:f>
              <c:numCache>
                <c:formatCode>#,##0.00</c:formatCode>
                <c:ptCount val="10"/>
                <c:pt idx="0">
                  <c:v>33578.343551999998</c:v>
                </c:pt>
                <c:pt idx="1">
                  <c:v>32.294166666666662</c:v>
                </c:pt>
                <c:pt idx="2">
                  <c:v>7381.2063009074236</c:v>
                </c:pt>
                <c:pt idx="3">
                  <c:v>192.70980973203197</c:v>
                </c:pt>
                <c:pt idx="4">
                  <c:v>915.79998867302993</c:v>
                </c:pt>
                <c:pt idx="5">
                  <c:v>1801.3555096270161</c:v>
                </c:pt>
                <c:pt idx="6">
                  <c:v>0</c:v>
                </c:pt>
                <c:pt idx="7">
                  <c:v>28398.354194918953</c:v>
                </c:pt>
                <c:pt idx="8">
                  <c:v>8412.5068644669609</c:v>
                </c:pt>
                <c:pt idx="9">
                  <c:v>3881.1921775737383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'9. Prognoza 2020'!$C$79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Prognoza 2020'!$B$81:$B$86</c:f>
              <c:strCache>
                <c:ptCount val="6"/>
                <c:pt idx="0">
                  <c:v>użyteczność publiczna</c:v>
                </c:pt>
                <c:pt idx="1">
                  <c:v>mieszkalnictwo</c:v>
                </c:pt>
                <c:pt idx="2">
                  <c:v>transport</c:v>
                </c:pt>
                <c:pt idx="3">
                  <c:v>oświetlenie</c:v>
                </c:pt>
                <c:pt idx="4">
                  <c:v>infrastruktura wod-kan</c:v>
                </c:pt>
                <c:pt idx="5">
                  <c:v>przemysł i usługi</c:v>
                </c:pt>
              </c:strCache>
            </c:strRef>
          </c:cat>
          <c:val>
            <c:numRef>
              <c:f>'9. Prognoza 2020'!$C$81:$C$86</c:f>
              <c:numCache>
                <c:formatCode>#,##0.00</c:formatCode>
                <c:ptCount val="6"/>
                <c:pt idx="0">
                  <c:v>2763.1215139166666</c:v>
                </c:pt>
                <c:pt idx="1">
                  <c:v>43463.95755087502</c:v>
                </c:pt>
                <c:pt idx="2">
                  <c:v>158877.99872184644</c:v>
                </c:pt>
                <c:pt idx="3">
                  <c:v>596.54</c:v>
                </c:pt>
                <c:pt idx="4">
                  <c:v>503.30900000000003</c:v>
                </c:pt>
                <c:pt idx="5">
                  <c:v>50816.361129459336</c:v>
                </c:pt>
              </c:numCache>
            </c:numRef>
          </c:val>
        </c:ser>
        <c:ser>
          <c:idx val="1"/>
          <c:order val="1"/>
          <c:tx>
            <c:strRef>
              <c:f>'9. Prognoza 2020'!$G$79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Prognoza 2020'!$B$81:$B$86</c:f>
              <c:strCache>
                <c:ptCount val="6"/>
                <c:pt idx="0">
                  <c:v>użyteczność publiczna</c:v>
                </c:pt>
                <c:pt idx="1">
                  <c:v>mieszkalnictwo</c:v>
                </c:pt>
                <c:pt idx="2">
                  <c:v>transport</c:v>
                </c:pt>
                <c:pt idx="3">
                  <c:v>oświetlenie</c:v>
                </c:pt>
                <c:pt idx="4">
                  <c:v>infrastruktura wod-kan</c:v>
                </c:pt>
                <c:pt idx="5">
                  <c:v>przemysł i usługi</c:v>
                </c:pt>
              </c:strCache>
            </c:strRef>
          </c:cat>
          <c:val>
            <c:numRef>
              <c:f>'9. Prognoza 2020'!$G$81:$G$86</c:f>
              <c:numCache>
                <c:formatCode>#,##0.00</c:formatCode>
                <c:ptCount val="6"/>
                <c:pt idx="0">
                  <c:v>2781.4870315160397</c:v>
                </c:pt>
                <c:pt idx="1">
                  <c:v>44196.492660640695</c:v>
                </c:pt>
                <c:pt idx="2">
                  <c:v>163704.31662048187</c:v>
                </c:pt>
                <c:pt idx="3">
                  <c:v>596.54</c:v>
                </c:pt>
                <c:pt idx="4">
                  <c:v>493.746129</c:v>
                </c:pt>
                <c:pt idx="5">
                  <c:v>51365.380355905072</c:v>
                </c:pt>
              </c:numCache>
            </c:numRef>
          </c:val>
        </c:ser>
        <c:gapWidth val="219"/>
        <c:overlap val="-27"/>
        <c:axId val="152491520"/>
        <c:axId val="152493056"/>
      </c:barChart>
      <c:catAx>
        <c:axId val="1524915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493056"/>
        <c:crosses val="autoZero"/>
        <c:auto val="1"/>
        <c:lblAlgn val="ctr"/>
        <c:lblOffset val="100"/>
      </c:catAx>
      <c:valAx>
        <c:axId val="152493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49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'9. Prognoza 2020'!$C$79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Prognoza 2020'!$B$81:$B$86</c:f>
              <c:strCache>
                <c:ptCount val="6"/>
                <c:pt idx="0">
                  <c:v>użyteczność publiczna</c:v>
                </c:pt>
                <c:pt idx="1">
                  <c:v>mieszkalnictwo</c:v>
                </c:pt>
                <c:pt idx="2">
                  <c:v>transport</c:v>
                </c:pt>
                <c:pt idx="3">
                  <c:v>oświetlenie</c:v>
                </c:pt>
                <c:pt idx="4">
                  <c:v>infrastruktura wod-kan</c:v>
                </c:pt>
                <c:pt idx="5">
                  <c:v>przemysł i usługi</c:v>
                </c:pt>
              </c:strCache>
            </c:strRef>
          </c:cat>
          <c:val>
            <c:numRef>
              <c:f>'9. Prognoza 2020'!$E$81:$E$86</c:f>
              <c:numCache>
                <c:formatCode>#,##0.00</c:formatCode>
                <c:ptCount val="6"/>
                <c:pt idx="0">
                  <c:v>783.89810850766673</c:v>
                </c:pt>
                <c:pt idx="1">
                  <c:v>13388.086635297033</c:v>
                </c:pt>
                <c:pt idx="2">
                  <c:v>40692.053236959648</c:v>
                </c:pt>
                <c:pt idx="3">
                  <c:v>496.32127999999994</c:v>
                </c:pt>
                <c:pt idx="4">
                  <c:v>418.75308799999999</c:v>
                </c:pt>
                <c:pt idx="5">
                  <c:v>28814.65021580147</c:v>
                </c:pt>
              </c:numCache>
            </c:numRef>
          </c:val>
        </c:ser>
        <c:ser>
          <c:idx val="1"/>
          <c:order val="1"/>
          <c:tx>
            <c:strRef>
              <c:f>'9. Prognoza 2020'!$G$79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Prognoza 2020'!$B$81:$B$86</c:f>
              <c:strCache>
                <c:ptCount val="6"/>
                <c:pt idx="0">
                  <c:v>użyteczność publiczna</c:v>
                </c:pt>
                <c:pt idx="1">
                  <c:v>mieszkalnictwo</c:v>
                </c:pt>
                <c:pt idx="2">
                  <c:v>transport</c:v>
                </c:pt>
                <c:pt idx="3">
                  <c:v>oświetlenie</c:v>
                </c:pt>
                <c:pt idx="4">
                  <c:v>infrastruktura wod-kan</c:v>
                </c:pt>
                <c:pt idx="5">
                  <c:v>przemysł i usługi</c:v>
                </c:pt>
              </c:strCache>
            </c:strRef>
          </c:cat>
          <c:val>
            <c:numRef>
              <c:f>'9. Prognoza 2020'!$I$81:$I$86</c:f>
              <c:numCache>
                <c:formatCode>#,##0.00</c:formatCode>
                <c:ptCount val="6"/>
                <c:pt idx="0">
                  <c:v>790.06534959594046</c:v>
                </c:pt>
                <c:pt idx="1">
                  <c:v>13584.226282910175</c:v>
                </c:pt>
                <c:pt idx="2">
                  <c:v>41928.17646641696</c:v>
                </c:pt>
                <c:pt idx="3">
                  <c:v>496.32127999999994</c:v>
                </c:pt>
                <c:pt idx="4">
                  <c:v>410.79677932799996</c:v>
                </c:pt>
                <c:pt idx="5">
                  <c:v>29149.797813152381</c:v>
                </c:pt>
              </c:numCache>
            </c:numRef>
          </c:val>
        </c:ser>
        <c:gapWidth val="219"/>
        <c:overlap val="-27"/>
        <c:axId val="152551424"/>
        <c:axId val="152552960"/>
      </c:barChart>
      <c:catAx>
        <c:axId val="152551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552960"/>
        <c:crosses val="autoZero"/>
        <c:auto val="1"/>
        <c:lblAlgn val="ctr"/>
        <c:lblOffset val="100"/>
      </c:catAx>
      <c:valAx>
        <c:axId val="1525529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55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'9. Prognoza 2020'!$C$108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Prognoza 2020'!$B$110:$B$119</c:f>
              <c:strCache>
                <c:ptCount val="10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gaz ziemny</c:v>
                </c:pt>
                <c:pt idx="4">
                  <c:v>gaz płynny</c:v>
                </c:pt>
                <c:pt idx="5">
                  <c:v>olej opałowy</c:v>
                </c:pt>
                <c:pt idx="6">
                  <c:v>biomasa</c:v>
                </c:pt>
                <c:pt idx="7">
                  <c:v>olej napędowy</c:v>
                </c:pt>
                <c:pt idx="8">
                  <c:v>benzyna</c:v>
                </c:pt>
                <c:pt idx="9">
                  <c:v>gaz LPG</c:v>
                </c:pt>
              </c:strCache>
            </c:strRef>
          </c:cat>
          <c:val>
            <c:numRef>
              <c:f>'9. Prognoza 2020'!$C$110:$C$119</c:f>
              <c:numCache>
                <c:formatCode>#,##0.00</c:formatCode>
                <c:ptCount val="10"/>
                <c:pt idx="0">
                  <c:v>40358.586000000003</c:v>
                </c:pt>
                <c:pt idx="1">
                  <c:v>2935.8333333333335</c:v>
                </c:pt>
                <c:pt idx="2">
                  <c:v>21645.766278320887</c:v>
                </c:pt>
                <c:pt idx="3">
                  <c:v>958.75527229866657</c:v>
                </c:pt>
                <c:pt idx="4">
                  <c:v>4070.2221718801329</c:v>
                </c:pt>
                <c:pt idx="5">
                  <c:v>6526.6503971993334</c:v>
                </c:pt>
                <c:pt idx="6">
                  <c:v>21647.475741218663</c:v>
                </c:pt>
                <c:pt idx="7">
                  <c:v>107569.52346560209</c:v>
                </c:pt>
                <c:pt idx="8">
                  <c:v>34058.732244805513</c:v>
                </c:pt>
                <c:pt idx="9">
                  <c:v>17249.743011438837</c:v>
                </c:pt>
              </c:numCache>
            </c:numRef>
          </c:val>
        </c:ser>
        <c:ser>
          <c:idx val="1"/>
          <c:order val="1"/>
          <c:tx>
            <c:strRef>
              <c:f>'9. Prognoza 2020'!$G$108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Prognoza 2020'!$B$110:$B$119</c:f>
              <c:strCache>
                <c:ptCount val="10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gaz ziemny</c:v>
                </c:pt>
                <c:pt idx="4">
                  <c:v>gaz płynny</c:v>
                </c:pt>
                <c:pt idx="5">
                  <c:v>olej opałowy</c:v>
                </c:pt>
                <c:pt idx="6">
                  <c:v>biomasa</c:v>
                </c:pt>
                <c:pt idx="7">
                  <c:v>olej napędowy</c:v>
                </c:pt>
                <c:pt idx="8">
                  <c:v>benzyna</c:v>
                </c:pt>
                <c:pt idx="9">
                  <c:v>gaz LPG</c:v>
                </c:pt>
              </c:strCache>
            </c:strRef>
          </c:cat>
          <c:val>
            <c:numRef>
              <c:f>'9. Prognoza 2020'!$G$110:$G$119</c:f>
              <c:numCache>
                <c:formatCode>#,##0.00</c:formatCode>
                <c:ptCount val="10"/>
                <c:pt idx="0">
                  <c:v>40822.489788047547</c:v>
                </c:pt>
                <c:pt idx="1">
                  <c:v>2977.0991826560189</c:v>
                </c:pt>
                <c:pt idx="2">
                  <c:v>21954.645539643701</c:v>
                </c:pt>
                <c:pt idx="3">
                  <c:v>968.56591754354417</c:v>
                </c:pt>
                <c:pt idx="4">
                  <c:v>4124.7339583077828</c:v>
                </c:pt>
                <c:pt idx="5">
                  <c:v>6611.8365625279657</c:v>
                </c:pt>
                <c:pt idx="6">
                  <c:v>21974.27522833526</c:v>
                </c:pt>
                <c:pt idx="7">
                  <c:v>110837.2176751612</c:v>
                </c:pt>
                <c:pt idx="8">
                  <c:v>35093.351703511806</c:v>
                </c:pt>
                <c:pt idx="9">
                  <c:v>17773.747241808847</c:v>
                </c:pt>
              </c:numCache>
            </c:numRef>
          </c:val>
        </c:ser>
        <c:gapWidth val="219"/>
        <c:overlap val="-27"/>
        <c:axId val="152656128"/>
        <c:axId val="152662016"/>
      </c:barChart>
      <c:catAx>
        <c:axId val="152656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662016"/>
        <c:crosses val="autoZero"/>
        <c:auto val="1"/>
        <c:lblAlgn val="ctr"/>
        <c:lblOffset val="100"/>
      </c:catAx>
      <c:valAx>
        <c:axId val="1526620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65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'9. Prognoza 2020'!$C$108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Prognoza 2020'!$B$110:$B$119</c:f>
              <c:strCache>
                <c:ptCount val="10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gaz ziemny</c:v>
                </c:pt>
                <c:pt idx="4">
                  <c:v>gaz płynny</c:v>
                </c:pt>
                <c:pt idx="5">
                  <c:v>olej opałowy</c:v>
                </c:pt>
                <c:pt idx="6">
                  <c:v>biomasa</c:v>
                </c:pt>
                <c:pt idx="7">
                  <c:v>olej napędowy</c:v>
                </c:pt>
                <c:pt idx="8">
                  <c:v>benzyna</c:v>
                </c:pt>
                <c:pt idx="9">
                  <c:v>gaz LPG</c:v>
                </c:pt>
              </c:strCache>
            </c:strRef>
          </c:cat>
          <c:val>
            <c:numRef>
              <c:f>'9. Prognoza 2020'!$E$110:$E$119</c:f>
              <c:numCache>
                <c:formatCode>#,##0.00</c:formatCode>
                <c:ptCount val="10"/>
                <c:pt idx="0">
                  <c:v>33578.343551999998</c:v>
                </c:pt>
                <c:pt idx="1">
                  <c:v>32.294166666666662</c:v>
                </c:pt>
                <c:pt idx="2">
                  <c:v>7381.2063009074236</c:v>
                </c:pt>
                <c:pt idx="3">
                  <c:v>192.70980973203197</c:v>
                </c:pt>
                <c:pt idx="4">
                  <c:v>915.79998867302993</c:v>
                </c:pt>
                <c:pt idx="5">
                  <c:v>1801.3555096270161</c:v>
                </c:pt>
                <c:pt idx="6">
                  <c:v>0</c:v>
                </c:pt>
                <c:pt idx="7">
                  <c:v>28398.354194918953</c:v>
                </c:pt>
                <c:pt idx="8">
                  <c:v>8412.5068644669609</c:v>
                </c:pt>
                <c:pt idx="9">
                  <c:v>3881.1921775737383</c:v>
                </c:pt>
              </c:numCache>
            </c:numRef>
          </c:val>
        </c:ser>
        <c:ser>
          <c:idx val="1"/>
          <c:order val="1"/>
          <c:tx>
            <c:strRef>
              <c:f>'9. Prognoza 2020'!$G$108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Prognoza 2020'!$B$110:$B$119</c:f>
              <c:strCache>
                <c:ptCount val="10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gaz ziemny</c:v>
                </c:pt>
                <c:pt idx="4">
                  <c:v>gaz płynny</c:v>
                </c:pt>
                <c:pt idx="5">
                  <c:v>olej opałowy</c:v>
                </c:pt>
                <c:pt idx="6">
                  <c:v>biomasa</c:v>
                </c:pt>
                <c:pt idx="7">
                  <c:v>olej napędowy</c:v>
                </c:pt>
                <c:pt idx="8">
                  <c:v>benzyna</c:v>
                </c:pt>
                <c:pt idx="9">
                  <c:v>gaz LPG</c:v>
                </c:pt>
              </c:strCache>
            </c:strRef>
          </c:cat>
          <c:val>
            <c:numRef>
              <c:f>'9. Prognoza 2020'!$I$110:$I$119</c:f>
              <c:numCache>
                <c:formatCode>#,##0.00</c:formatCode>
                <c:ptCount val="10"/>
                <c:pt idx="0">
                  <c:v>33964.311503655554</c:v>
                </c:pt>
                <c:pt idx="1">
                  <c:v>32.748091009216203</c:v>
                </c:pt>
                <c:pt idx="2">
                  <c:v>7486.5341290185024</c:v>
                </c:pt>
                <c:pt idx="3">
                  <c:v>194.68174942625237</c:v>
                </c:pt>
                <c:pt idx="4">
                  <c:v>928.06514061925122</c:v>
                </c:pt>
                <c:pt idx="5">
                  <c:v>1824.8668912577186</c:v>
                </c:pt>
                <c:pt idx="6">
                  <c:v>0</c:v>
                </c:pt>
                <c:pt idx="7">
                  <c:v>29261.025466242558</c:v>
                </c:pt>
                <c:pt idx="8">
                  <c:v>8668.0578707674158</c:v>
                </c:pt>
                <c:pt idx="9">
                  <c:v>3999.0931294069906</c:v>
                </c:pt>
              </c:numCache>
            </c:numRef>
          </c:val>
        </c:ser>
        <c:gapWidth val="219"/>
        <c:overlap val="-27"/>
        <c:axId val="152572672"/>
        <c:axId val="152574208"/>
      </c:barChart>
      <c:catAx>
        <c:axId val="152572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574208"/>
        <c:crosses val="autoZero"/>
        <c:auto val="1"/>
        <c:lblAlgn val="ctr"/>
        <c:lblOffset val="100"/>
      </c:catAx>
      <c:valAx>
        <c:axId val="152574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57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9.4812101975625146E-2"/>
          <c:y val="0.17277194517351988"/>
          <c:w val="0.55007779066376394"/>
          <c:h val="0.73916703120443283"/>
        </c:manualLayout>
      </c:layout>
      <c:pieChart>
        <c:varyColors val="1"/>
        <c:ser>
          <c:idx val="0"/>
          <c:order val="0"/>
          <c:tx>
            <c:strRef>
              <c:f>'2. Użyteczność publiczna'!$E$47</c:f>
              <c:strCache>
                <c:ptCount val="1"/>
                <c:pt idx="0">
                  <c:v>emisja CO2 [Mg]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5.6319084145489522E-2"/>
                  <c:y val="1.1511738116068884E-2"/>
                </c:manualLayout>
              </c:layout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597611345093492E-2"/>
                  <c:y val="8.6161052785068568E-2"/>
                </c:manualLayout>
              </c:layout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882255997070257E-2"/>
                  <c:y val="7.6761446485855908E-2"/>
                </c:manualLayout>
              </c:layout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146045697776201E-2"/>
                  <c:y val="9.7798191892680512E-3"/>
                </c:manualLayout>
              </c:layout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 Użyteczność publiczna'!$B$48:$B$54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węgiel kamienny</c:v>
                </c:pt>
                <c:pt idx="3">
                  <c:v>olej opałowy</c:v>
                </c:pt>
                <c:pt idx="4">
                  <c:v>biomasa</c:v>
                </c:pt>
                <c:pt idx="5">
                  <c:v>gaz ziemny</c:v>
                </c:pt>
                <c:pt idx="6">
                  <c:v>gaz płynny</c:v>
                </c:pt>
              </c:strCache>
            </c:strRef>
          </c:cat>
          <c:val>
            <c:numRef>
              <c:f>'2. Użyteczność publiczna'!$E$48:$E$54</c:f>
              <c:numCache>
                <c:formatCode>#,##0.00</c:formatCode>
                <c:ptCount val="7"/>
                <c:pt idx="0">
                  <c:v>240.20588800000002</c:v>
                </c:pt>
                <c:pt idx="1">
                  <c:v>7.3262780555555551</c:v>
                </c:pt>
                <c:pt idx="2">
                  <c:v>255.75558861111114</c:v>
                </c:pt>
                <c:pt idx="3">
                  <c:v>280.61035384100001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'3. Mieszkalnictwo'!$C$26</c:f>
              <c:strCache>
                <c:ptCount val="1"/>
                <c:pt idx="0">
                  <c:v>zużycie energii [MWh]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Mieszkalnictwo'!$B$27:$B$33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gaz ziemny</c:v>
                </c:pt>
                <c:pt idx="3">
                  <c:v>węgiel kamienny</c:v>
                </c:pt>
                <c:pt idx="4">
                  <c:v>biomasa</c:v>
                </c:pt>
                <c:pt idx="5">
                  <c:v>olej opałowy</c:v>
                </c:pt>
                <c:pt idx="6">
                  <c:v>gaz płynny</c:v>
                </c:pt>
              </c:strCache>
            </c:strRef>
          </c:cat>
          <c:val>
            <c:numRef>
              <c:f>'3. Mieszkalnictwo'!$C$27:$C$33</c:f>
              <c:numCache>
                <c:formatCode>#,##0.00</c:formatCode>
                <c:ptCount val="7"/>
                <c:pt idx="0">
                  <c:v>9246.5300000000007</c:v>
                </c:pt>
                <c:pt idx="1">
                  <c:v>1838.0555555555554</c:v>
                </c:pt>
                <c:pt idx="2">
                  <c:v>126.09666666666666</c:v>
                </c:pt>
                <c:pt idx="3">
                  <c:v>12681.742675200001</c:v>
                </c:pt>
                <c:pt idx="4">
                  <c:v>14411.383826399999</c:v>
                </c:pt>
                <c:pt idx="5">
                  <c:v>3213.7626638399997</c:v>
                </c:pt>
                <c:pt idx="6">
                  <c:v>1946.3861632127998</c:v>
                </c:pt>
              </c:numCache>
            </c:numRef>
          </c:val>
        </c:ser>
        <c:gapWidth val="219"/>
        <c:overlap val="-27"/>
        <c:axId val="150717184"/>
        <c:axId val="150718720"/>
      </c:barChart>
      <c:catAx>
        <c:axId val="150717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0718720"/>
        <c:crosses val="autoZero"/>
        <c:auto val="1"/>
        <c:lblAlgn val="ctr"/>
        <c:lblOffset val="100"/>
      </c:catAx>
      <c:valAx>
        <c:axId val="150718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071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'3. Mieszkalnictwo'!$E$26</c:f>
              <c:strCache>
                <c:ptCount val="1"/>
                <c:pt idx="0">
                  <c:v>emisja CO2 [Mg]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Mieszkalnictwo'!$B$27:$B$33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gaz ziemny</c:v>
                </c:pt>
                <c:pt idx="3">
                  <c:v>węgiel kamienny</c:v>
                </c:pt>
                <c:pt idx="4">
                  <c:v>biomasa</c:v>
                </c:pt>
                <c:pt idx="5">
                  <c:v>olej opałowy</c:v>
                </c:pt>
                <c:pt idx="6">
                  <c:v>gaz płynny</c:v>
                </c:pt>
              </c:strCache>
            </c:strRef>
          </c:cat>
          <c:val>
            <c:numRef>
              <c:f>'3. Mieszkalnictwo'!$E$27:$E$33</c:f>
              <c:numCache>
                <c:formatCode>#,##0.00</c:formatCode>
                <c:ptCount val="7"/>
                <c:pt idx="0">
                  <c:v>7693.1129600000004</c:v>
                </c:pt>
                <c:pt idx="1">
                  <c:v>20.218611111111109</c:v>
                </c:pt>
                <c:pt idx="2">
                  <c:v>25.34543</c:v>
                </c:pt>
                <c:pt idx="3">
                  <c:v>4324.4742522432007</c:v>
                </c:pt>
                <c:pt idx="4">
                  <c:v>0</c:v>
                </c:pt>
                <c:pt idx="5">
                  <c:v>886.99849521984004</c:v>
                </c:pt>
                <c:pt idx="6">
                  <c:v>437.93688672287999</c:v>
                </c:pt>
              </c:numCache>
            </c:numRef>
          </c:val>
        </c:ser>
        <c:gapWidth val="219"/>
        <c:overlap val="-27"/>
        <c:axId val="149170048"/>
        <c:axId val="149171584"/>
      </c:barChart>
      <c:catAx>
        <c:axId val="1491700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9171584"/>
        <c:crosses val="autoZero"/>
        <c:auto val="1"/>
        <c:lblAlgn val="ctr"/>
        <c:lblOffset val="100"/>
      </c:catAx>
      <c:valAx>
        <c:axId val="149171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917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0.1085933250591742"/>
          <c:y val="0.18666083406240977"/>
          <c:w val="0.54663248489287652"/>
          <c:h val="0.73453740157480363"/>
        </c:manualLayout>
      </c:layout>
      <c:pieChart>
        <c:varyColors val="1"/>
        <c:ser>
          <c:idx val="0"/>
          <c:order val="0"/>
          <c:tx>
            <c:strRef>
              <c:f>'3. Mieszkalnictwo'!$C$26</c:f>
              <c:strCache>
                <c:ptCount val="1"/>
                <c:pt idx="0">
                  <c:v>zużycie energii [MWh]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1.6446548850909861E-3"/>
                  <c:y val="1.0746156730408707E-2"/>
                </c:manualLayout>
              </c:layout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269046792397681E-2"/>
                  <c:y val="1.816497937757788E-2"/>
                </c:manualLayout>
              </c:layout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Mieszkalnictwo'!$B$27:$B$33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gaz ziemny</c:v>
                </c:pt>
                <c:pt idx="3">
                  <c:v>węgiel kamienny</c:v>
                </c:pt>
                <c:pt idx="4">
                  <c:v>biomasa</c:v>
                </c:pt>
                <c:pt idx="5">
                  <c:v>olej opałowy</c:v>
                </c:pt>
                <c:pt idx="6">
                  <c:v>gaz płynny</c:v>
                </c:pt>
              </c:strCache>
            </c:strRef>
          </c:cat>
          <c:val>
            <c:numRef>
              <c:f>'3. Mieszkalnictwo'!$C$27:$C$33</c:f>
              <c:numCache>
                <c:formatCode>#,##0.00</c:formatCode>
                <c:ptCount val="7"/>
                <c:pt idx="0">
                  <c:v>9246.5300000000007</c:v>
                </c:pt>
                <c:pt idx="1">
                  <c:v>1838.0555555555554</c:v>
                </c:pt>
                <c:pt idx="2">
                  <c:v>126.09666666666666</c:v>
                </c:pt>
                <c:pt idx="3">
                  <c:v>12681.742675200001</c:v>
                </c:pt>
                <c:pt idx="4">
                  <c:v>14411.383826399999</c:v>
                </c:pt>
                <c:pt idx="5">
                  <c:v>3213.7626638399997</c:v>
                </c:pt>
                <c:pt idx="6">
                  <c:v>1946.3861632127998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0.1085933250591742"/>
          <c:y val="0.18666083406240977"/>
          <c:w val="0.54663248489287652"/>
          <c:h val="0.73453740157480363"/>
        </c:manualLayout>
      </c:layout>
      <c:pieChart>
        <c:varyColors val="1"/>
        <c:ser>
          <c:idx val="0"/>
          <c:order val="0"/>
          <c:tx>
            <c:strRef>
              <c:f>'3. Mieszkalnictwo'!$E$26</c:f>
              <c:strCache>
                <c:ptCount val="1"/>
                <c:pt idx="0">
                  <c:v>emisja CO2 [Mg]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Mieszkalnictwo'!$B$27:$B$33</c:f>
              <c:strCache>
                <c:ptCount val="7"/>
                <c:pt idx="0">
                  <c:v>energia elektryczna</c:v>
                </c:pt>
                <c:pt idx="1">
                  <c:v>ciepło sieciowe</c:v>
                </c:pt>
                <c:pt idx="2">
                  <c:v>gaz ziemny</c:v>
                </c:pt>
                <c:pt idx="3">
                  <c:v>węgiel kamienny</c:v>
                </c:pt>
                <c:pt idx="4">
                  <c:v>biomasa</c:v>
                </c:pt>
                <c:pt idx="5">
                  <c:v>olej opałowy</c:v>
                </c:pt>
                <c:pt idx="6">
                  <c:v>gaz płynny</c:v>
                </c:pt>
              </c:strCache>
            </c:strRef>
          </c:cat>
          <c:val>
            <c:numRef>
              <c:f>'3. Mieszkalnictwo'!$E$27:$E$33</c:f>
              <c:numCache>
                <c:formatCode>#,##0.00</c:formatCode>
                <c:ptCount val="7"/>
                <c:pt idx="0">
                  <c:v>7693.1129600000004</c:v>
                </c:pt>
                <c:pt idx="1">
                  <c:v>20.218611111111109</c:v>
                </c:pt>
                <c:pt idx="2">
                  <c:v>25.34543</c:v>
                </c:pt>
                <c:pt idx="3">
                  <c:v>4324.4742522432007</c:v>
                </c:pt>
                <c:pt idx="4">
                  <c:v>0</c:v>
                </c:pt>
                <c:pt idx="5">
                  <c:v>886.99849521984004</c:v>
                </c:pt>
                <c:pt idx="6">
                  <c:v>437.93688672287999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'4. Transport'!$C$10</c:f>
              <c:strCache>
                <c:ptCount val="1"/>
                <c:pt idx="0">
                  <c:v>zużycie energii [MWh]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Transport'!$B$11:$B$13</c:f>
              <c:strCache>
                <c:ptCount val="3"/>
                <c:pt idx="0">
                  <c:v>olej napędowy</c:v>
                </c:pt>
                <c:pt idx="1">
                  <c:v>benzyna</c:v>
                </c:pt>
                <c:pt idx="2">
                  <c:v>gaz LPG</c:v>
                </c:pt>
              </c:strCache>
            </c:strRef>
          </c:cat>
          <c:val>
            <c:numRef>
              <c:f>'4. Transport'!$C$11:$C$13</c:f>
              <c:numCache>
                <c:formatCode>#,##0.00</c:formatCode>
                <c:ptCount val="3"/>
                <c:pt idx="0">
                  <c:v>107569.52346560209</c:v>
                </c:pt>
                <c:pt idx="1">
                  <c:v>34058.732244805513</c:v>
                </c:pt>
                <c:pt idx="2">
                  <c:v>17249.743011438837</c:v>
                </c:pt>
              </c:numCache>
            </c:numRef>
          </c:val>
        </c:ser>
        <c:gapWidth val="219"/>
        <c:overlap val="-27"/>
        <c:axId val="151058304"/>
        <c:axId val="151059840"/>
      </c:barChart>
      <c:catAx>
        <c:axId val="151058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059840"/>
        <c:crosses val="autoZero"/>
        <c:auto val="1"/>
        <c:lblAlgn val="ctr"/>
        <c:lblOffset val="100"/>
      </c:catAx>
      <c:valAx>
        <c:axId val="151059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105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16328</xdr:rowOff>
    </xdr:from>
    <xdr:to>
      <xdr:col>1</xdr:col>
      <xdr:colOff>1774371</xdr:colOff>
      <xdr:row>4</xdr:row>
      <xdr:rowOff>34019</xdr:rowOff>
    </xdr:to>
    <xdr:pic>
      <xdr:nvPicPr>
        <xdr:cNvPr id="4" name="Obraz 3" descr="C:\Users\Ewelina\AppData\Local\Temp\Rar$DIa0.406\INFRASTRUKTURA_I_SRODOWISKO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0088"/>
        <a:stretch/>
      </xdr:blipFill>
      <xdr:spPr bwMode="auto">
        <a:xfrm>
          <a:off x="419100" y="16328"/>
          <a:ext cx="1936296" cy="7415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397327</xdr:colOff>
      <xdr:row>0</xdr:row>
      <xdr:rowOff>48988</xdr:rowOff>
    </xdr:from>
    <xdr:to>
      <xdr:col>6</xdr:col>
      <xdr:colOff>593271</xdr:colOff>
      <xdr:row>3</xdr:row>
      <xdr:rowOff>43545</xdr:rowOff>
    </xdr:to>
    <xdr:pic>
      <xdr:nvPicPr>
        <xdr:cNvPr id="5" name="Obraz 4" descr="C:\Users\Ewelina\AppData\Local\Temp\Rar$DIa0.419\UE+FS_L-kolor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54952" y="48988"/>
          <a:ext cx="1415144" cy="537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273504</xdr:colOff>
      <xdr:row>0</xdr:row>
      <xdr:rowOff>134712</xdr:rowOff>
    </xdr:from>
    <xdr:to>
      <xdr:col>2</xdr:col>
      <xdr:colOff>574500</xdr:colOff>
      <xdr:row>2</xdr:row>
      <xdr:rowOff>114762</xdr:rowOff>
    </xdr:to>
    <xdr:pic>
      <xdr:nvPicPr>
        <xdr:cNvPr id="6" name="Obraz 5" descr="http://upload.wikimedia.org/wikipedia/commons/thumb/3/36/POL_Bia%C5%82a_Rawska_COA.svg/527px-POL_Bia%C5%82a_Rawska_COA.sv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11929" y="134712"/>
          <a:ext cx="300996" cy="34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333375</xdr:colOff>
      <xdr:row>25</xdr:row>
      <xdr:rowOff>57150</xdr:rowOff>
    </xdr:from>
    <xdr:to>
      <xdr:col>6</xdr:col>
      <xdr:colOff>333375</xdr:colOff>
      <xdr:row>27</xdr:row>
      <xdr:rowOff>181610</xdr:rowOff>
    </xdr:to>
    <xdr:pic>
      <xdr:nvPicPr>
        <xdr:cNvPr id="7" name="Obraz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71800" y="5114925"/>
          <a:ext cx="2438400" cy="54356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</xdr:row>
      <xdr:rowOff>14287</xdr:rowOff>
    </xdr:from>
    <xdr:to>
      <xdr:col>5</xdr:col>
      <xdr:colOff>447675</xdr:colOff>
      <xdr:row>74</xdr:row>
      <xdr:rowOff>14287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56</xdr:row>
      <xdr:rowOff>14287</xdr:rowOff>
    </xdr:from>
    <xdr:to>
      <xdr:col>12</xdr:col>
      <xdr:colOff>276225</xdr:colOff>
      <xdr:row>74</xdr:row>
      <xdr:rowOff>14287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457200</xdr:colOff>
      <xdr:row>56</xdr:row>
      <xdr:rowOff>33337</xdr:rowOff>
    </xdr:from>
    <xdr:to>
      <xdr:col>17</xdr:col>
      <xdr:colOff>571500</xdr:colOff>
      <xdr:row>74</xdr:row>
      <xdr:rowOff>33337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56</xdr:row>
      <xdr:rowOff>19050</xdr:rowOff>
    </xdr:from>
    <xdr:to>
      <xdr:col>23</xdr:col>
      <xdr:colOff>114300</xdr:colOff>
      <xdr:row>74</xdr:row>
      <xdr:rowOff>19050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35</xdr:row>
      <xdr:rowOff>0</xdr:rowOff>
    </xdr:from>
    <xdr:to>
      <xdr:col>5</xdr:col>
      <xdr:colOff>456672</xdr:colOff>
      <xdr:row>49</xdr:row>
      <xdr:rowOff>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595313</xdr:colOff>
      <xdr:row>35</xdr:row>
      <xdr:rowOff>11906</xdr:rowOff>
    </xdr:from>
    <xdr:to>
      <xdr:col>11</xdr:col>
      <xdr:colOff>99484</xdr:colOff>
      <xdr:row>49</xdr:row>
      <xdr:rowOff>11906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416719</xdr:colOff>
      <xdr:row>35</xdr:row>
      <xdr:rowOff>35719</xdr:rowOff>
    </xdr:from>
    <xdr:to>
      <xdr:col>15</xdr:col>
      <xdr:colOff>747977</xdr:colOff>
      <xdr:row>49</xdr:row>
      <xdr:rowOff>35719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59532</xdr:colOff>
      <xdr:row>35</xdr:row>
      <xdr:rowOff>35718</xdr:rowOff>
    </xdr:from>
    <xdr:to>
      <xdr:col>20</xdr:col>
      <xdr:colOff>390790</xdr:colOff>
      <xdr:row>49</xdr:row>
      <xdr:rowOff>35718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6</xdr:col>
      <xdr:colOff>257175</xdr:colOff>
      <xdr:row>33</xdr:row>
      <xdr:rowOff>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371477</xdr:colOff>
      <xdr:row>15</xdr:row>
      <xdr:rowOff>0</xdr:rowOff>
    </xdr:from>
    <xdr:to>
      <xdr:col>13</xdr:col>
      <xdr:colOff>314326</xdr:colOff>
      <xdr:row>33</xdr:row>
      <xdr:rowOff>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15</xdr:row>
      <xdr:rowOff>9525</xdr:rowOff>
    </xdr:from>
    <xdr:to>
      <xdr:col>19</xdr:col>
      <xdr:colOff>333375</xdr:colOff>
      <xdr:row>33</xdr:row>
      <xdr:rowOff>9525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25</xdr:col>
      <xdr:colOff>304800</xdr:colOff>
      <xdr:row>33</xdr:row>
      <xdr:rowOff>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6</xdr:col>
      <xdr:colOff>257175</xdr:colOff>
      <xdr:row>61</xdr:row>
      <xdr:rowOff>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428626</xdr:colOff>
      <xdr:row>43</xdr:row>
      <xdr:rowOff>0</xdr:rowOff>
    </xdr:from>
    <xdr:to>
      <xdr:col>13</xdr:col>
      <xdr:colOff>304801</xdr:colOff>
      <xdr:row>61</xdr:row>
      <xdr:rowOff>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561975</xdr:colOff>
      <xdr:row>43</xdr:row>
      <xdr:rowOff>28575</xdr:rowOff>
    </xdr:from>
    <xdr:to>
      <xdr:col>19</xdr:col>
      <xdr:colOff>314325</xdr:colOff>
      <xdr:row>61</xdr:row>
      <xdr:rowOff>28575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571500</xdr:colOff>
      <xdr:row>43</xdr:row>
      <xdr:rowOff>47625</xdr:rowOff>
    </xdr:from>
    <xdr:to>
      <xdr:col>25</xdr:col>
      <xdr:colOff>352425</xdr:colOff>
      <xdr:row>61</xdr:row>
      <xdr:rowOff>47625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0</xdr:rowOff>
    </xdr:from>
    <xdr:to>
      <xdr:col>4</xdr:col>
      <xdr:colOff>542925</xdr:colOff>
      <xdr:row>23</xdr:row>
      <xdr:rowOff>76200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9</xdr:row>
      <xdr:rowOff>9525</xdr:rowOff>
    </xdr:from>
    <xdr:to>
      <xdr:col>11</xdr:col>
      <xdr:colOff>600075</xdr:colOff>
      <xdr:row>23</xdr:row>
      <xdr:rowOff>85725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5</xdr:col>
      <xdr:colOff>514350</xdr:colOff>
      <xdr:row>20</xdr:row>
      <xdr:rowOff>76200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6</xdr:row>
      <xdr:rowOff>19050</xdr:rowOff>
    </xdr:from>
    <xdr:to>
      <xdr:col>13</xdr:col>
      <xdr:colOff>104775</xdr:colOff>
      <xdr:row>20</xdr:row>
      <xdr:rowOff>95250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35</xdr:row>
      <xdr:rowOff>0</xdr:rowOff>
    </xdr:from>
    <xdr:to>
      <xdr:col>5</xdr:col>
      <xdr:colOff>456672</xdr:colOff>
      <xdr:row>49</xdr:row>
      <xdr:rowOff>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595313</xdr:colOff>
      <xdr:row>35</xdr:row>
      <xdr:rowOff>11906</xdr:rowOff>
    </xdr:from>
    <xdr:to>
      <xdr:col>12</xdr:col>
      <xdr:colOff>261937</xdr:colOff>
      <xdr:row>49</xdr:row>
      <xdr:rowOff>11906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35</xdr:row>
      <xdr:rowOff>23813</xdr:rowOff>
    </xdr:from>
    <xdr:to>
      <xdr:col>17</xdr:col>
      <xdr:colOff>535780</xdr:colOff>
      <xdr:row>49</xdr:row>
      <xdr:rowOff>23813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</xdr:colOff>
      <xdr:row>35</xdr:row>
      <xdr:rowOff>35719</xdr:rowOff>
    </xdr:from>
    <xdr:to>
      <xdr:col>23</xdr:col>
      <xdr:colOff>35718</xdr:colOff>
      <xdr:row>49</xdr:row>
      <xdr:rowOff>35719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14287</xdr:rowOff>
    </xdr:from>
    <xdr:to>
      <xdr:col>5</xdr:col>
      <xdr:colOff>238125</xdr:colOff>
      <xdr:row>24</xdr:row>
      <xdr:rowOff>90487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10</xdr:row>
      <xdr:rowOff>9525</xdr:rowOff>
    </xdr:from>
    <xdr:to>
      <xdr:col>12</xdr:col>
      <xdr:colOff>561975</xdr:colOff>
      <xdr:row>24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28575</xdr:colOff>
      <xdr:row>10</xdr:row>
      <xdr:rowOff>4762</xdr:rowOff>
    </xdr:from>
    <xdr:to>
      <xdr:col>20</xdr:col>
      <xdr:colOff>333375</xdr:colOff>
      <xdr:row>24</xdr:row>
      <xdr:rowOff>80962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438150</xdr:colOff>
      <xdr:row>10</xdr:row>
      <xdr:rowOff>0</xdr:rowOff>
    </xdr:from>
    <xdr:to>
      <xdr:col>28</xdr:col>
      <xdr:colOff>133350</xdr:colOff>
      <xdr:row>24</xdr:row>
      <xdr:rowOff>76200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5</xdr:col>
      <xdr:colOff>228600</xdr:colOff>
      <xdr:row>53</xdr:row>
      <xdr:rowOff>76200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390525</xdr:colOff>
      <xdr:row>39</xdr:row>
      <xdr:rowOff>9525</xdr:rowOff>
    </xdr:from>
    <xdr:to>
      <xdr:col>12</xdr:col>
      <xdr:colOff>590550</xdr:colOff>
      <xdr:row>53</xdr:row>
      <xdr:rowOff>85725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76200</xdr:colOff>
      <xdr:row>39</xdr:row>
      <xdr:rowOff>9525</xdr:rowOff>
    </xdr:from>
    <xdr:to>
      <xdr:col>20</xdr:col>
      <xdr:colOff>381000</xdr:colOff>
      <xdr:row>53</xdr:row>
      <xdr:rowOff>85725</xdr:rowOff>
    </xdr:to>
    <xdr:graphicFrame macro="">
      <xdr:nvGraphicFramePr>
        <xdr:cNvPr id="10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533400</xdr:colOff>
      <xdr:row>39</xdr:row>
      <xdr:rowOff>9525</xdr:rowOff>
    </xdr:from>
    <xdr:to>
      <xdr:col>28</xdr:col>
      <xdr:colOff>228600</xdr:colOff>
      <xdr:row>53</xdr:row>
      <xdr:rowOff>85725</xdr:rowOff>
    </xdr:to>
    <xdr:graphicFrame macro="">
      <xdr:nvGraphicFramePr>
        <xdr:cNvPr id="11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88</xdr:row>
      <xdr:rowOff>14287</xdr:rowOff>
    </xdr:from>
    <xdr:to>
      <xdr:col>6</xdr:col>
      <xdr:colOff>457200</xdr:colOff>
      <xdr:row>106</xdr:row>
      <xdr:rowOff>14287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88</xdr:row>
      <xdr:rowOff>28575</xdr:rowOff>
    </xdr:from>
    <xdr:to>
      <xdr:col>13</xdr:col>
      <xdr:colOff>152400</xdr:colOff>
      <xdr:row>106</xdr:row>
      <xdr:rowOff>28575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121</xdr:row>
      <xdr:rowOff>9525</xdr:rowOff>
    </xdr:from>
    <xdr:to>
      <xdr:col>6</xdr:col>
      <xdr:colOff>457200</xdr:colOff>
      <xdr:row>139</xdr:row>
      <xdr:rowOff>9525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704850</xdr:colOff>
      <xdr:row>121</xdr:row>
      <xdr:rowOff>0</xdr:rowOff>
    </xdr:from>
    <xdr:to>
      <xdr:col>13</xdr:col>
      <xdr:colOff>276225</xdr:colOff>
      <xdr:row>139</xdr:row>
      <xdr:rowOff>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z1/Documents/Agata/Praca%20nowe/PGN/PGN%20&#379;arn&#243;w/Baza%20danych,%20BEI%20i%20obliczenia%20Zarnow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ieszkalnictwo"/>
      <sheetName val="BUP"/>
      <sheetName val="gospodarka"/>
      <sheetName val="oświetlenie"/>
      <sheetName val="transport"/>
      <sheetName val="zestawienie"/>
      <sheetName val="zanieczyszczenia"/>
      <sheetName val="wskaźniki"/>
      <sheetName val="Raport z działań 2020"/>
      <sheetName val="HRF 2021-2025 z per.20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C5" t="str">
            <v>34,39 [MJ/m3]</v>
          </cell>
        </row>
        <row r="6">
          <cell r="C6">
            <v>47.31</v>
          </cell>
        </row>
        <row r="7">
          <cell r="C7">
            <v>22.37</v>
          </cell>
        </row>
        <row r="8">
          <cell r="C8">
            <v>40.19</v>
          </cell>
        </row>
        <row r="10">
          <cell r="C10">
            <v>44.8</v>
          </cell>
        </row>
        <row r="11">
          <cell r="C11">
            <v>43.33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43"/>
  <sheetViews>
    <sheetView showGridLines="0" view="pageBreakPreview" topLeftCell="A22" zoomScaleSheetLayoutView="100" workbookViewId="0">
      <selection activeCell="A13" sqref="A13"/>
    </sheetView>
  </sheetViews>
  <sheetFormatPr defaultRowHeight="14.25"/>
  <cols>
    <col min="1" max="1" width="8.7109375" style="200" customWidth="1"/>
    <col min="2" max="2" width="30.85546875" style="200" customWidth="1"/>
    <col min="3" max="16384" width="9.140625" style="200"/>
  </cols>
  <sheetData>
    <row r="6" spans="2:11" ht="14.25" customHeight="1">
      <c r="G6" s="201"/>
      <c r="H6" s="201"/>
      <c r="I6" s="201"/>
      <c r="J6" s="201"/>
      <c r="K6" s="201"/>
    </row>
    <row r="7" spans="2:11" ht="20.25" customHeight="1">
      <c r="G7" s="201"/>
      <c r="H7" s="201"/>
      <c r="I7" s="201"/>
      <c r="J7" s="201"/>
      <c r="K7" s="201"/>
    </row>
    <row r="8" spans="2:11" ht="14.25" customHeight="1">
      <c r="B8" s="548" t="s">
        <v>158</v>
      </c>
      <c r="C8" s="548"/>
      <c r="D8" s="548"/>
      <c r="E8" s="548"/>
      <c r="F8" s="548"/>
      <c r="G8" s="201"/>
      <c r="H8" s="201"/>
      <c r="I8" s="201"/>
      <c r="J8" s="201"/>
      <c r="K8" s="201"/>
    </row>
    <row r="9" spans="2:11" ht="14.25" customHeight="1">
      <c r="B9" s="548"/>
      <c r="C9" s="548"/>
      <c r="D9" s="548"/>
      <c r="E9" s="548"/>
      <c r="F9" s="548"/>
      <c r="G9" s="201"/>
      <c r="H9" s="201"/>
      <c r="I9" s="201"/>
      <c r="J9" s="201"/>
      <c r="K9" s="201"/>
    </row>
    <row r="10" spans="2:11" ht="14.25" customHeight="1">
      <c r="B10" s="201"/>
      <c r="C10" s="201"/>
      <c r="D10" s="201"/>
      <c r="E10" s="201"/>
      <c r="F10" s="201"/>
      <c r="G10" s="201"/>
      <c r="H10" s="201"/>
      <c r="I10" s="201"/>
      <c r="J10" s="201"/>
      <c r="K10" s="201"/>
    </row>
    <row r="14" spans="2:11" ht="50.25" customHeight="1">
      <c r="B14" s="549" t="s">
        <v>154</v>
      </c>
      <c r="C14" s="549"/>
      <c r="D14" s="549"/>
      <c r="E14" s="549"/>
      <c r="F14" s="549"/>
    </row>
    <row r="15" spans="2:11" ht="14.25" customHeight="1">
      <c r="B15" s="549"/>
      <c r="C15" s="549"/>
      <c r="D15" s="549"/>
      <c r="E15" s="549"/>
      <c r="F15" s="549"/>
    </row>
    <row r="16" spans="2:11" ht="14.25" customHeight="1">
      <c r="B16" s="549"/>
      <c r="C16" s="549"/>
      <c r="D16" s="549"/>
      <c r="E16" s="549"/>
      <c r="F16" s="549"/>
    </row>
    <row r="17" spans="1:6" ht="14.25" customHeight="1">
      <c r="B17" s="549"/>
      <c r="C17" s="549"/>
      <c r="D17" s="549"/>
      <c r="E17" s="549"/>
      <c r="F17" s="549"/>
    </row>
    <row r="26" spans="1:6" ht="16.5">
      <c r="B26" s="202" t="s">
        <v>155</v>
      </c>
    </row>
    <row r="27" spans="1:6" ht="16.5">
      <c r="B27" s="202" t="s">
        <v>156</v>
      </c>
    </row>
    <row r="28" spans="1:6" ht="16.5">
      <c r="B28" s="202" t="s">
        <v>157</v>
      </c>
    </row>
    <row r="29" spans="1:6" ht="15">
      <c r="B29" s="203"/>
    </row>
    <row r="30" spans="1:6" ht="20.25">
      <c r="B30" s="550" t="s">
        <v>186</v>
      </c>
      <c r="C30" s="550"/>
      <c r="D30" s="550"/>
      <c r="E30" s="550"/>
      <c r="F30" s="550"/>
    </row>
    <row r="31" spans="1:6">
      <c r="A31" s="317" t="s">
        <v>208</v>
      </c>
    </row>
    <row r="33" spans="2:6" ht="15">
      <c r="B33" s="318" t="s">
        <v>209</v>
      </c>
    </row>
    <row r="34" spans="2:6" ht="15">
      <c r="B34" s="318" t="s">
        <v>210</v>
      </c>
    </row>
    <row r="35" spans="2:6">
      <c r="B35" s="320" t="s">
        <v>211</v>
      </c>
    </row>
    <row r="36" spans="2:6" ht="28.5" customHeight="1">
      <c r="B36" s="551" t="s">
        <v>214</v>
      </c>
      <c r="C36" s="551"/>
      <c r="D36" s="551"/>
    </row>
    <row r="37" spans="2:6" ht="15.75">
      <c r="B37" s="319" t="s">
        <v>212</v>
      </c>
    </row>
    <row r="38" spans="2:6" ht="15.75">
      <c r="B38" s="319" t="s">
        <v>213</v>
      </c>
    </row>
    <row r="39" spans="2:6">
      <c r="B39" s="403" t="s">
        <v>277</v>
      </c>
    </row>
    <row r="40" spans="2:6">
      <c r="B40" s="404" t="s">
        <v>278</v>
      </c>
      <c r="C40" s="404"/>
      <c r="D40" s="404"/>
      <c r="E40" s="404"/>
      <c r="F40" s="404"/>
    </row>
    <row r="41" spans="2:6">
      <c r="B41" s="547" t="s">
        <v>279</v>
      </c>
      <c r="C41" s="547"/>
      <c r="D41" s="547"/>
      <c r="E41" s="547"/>
      <c r="F41" s="547"/>
    </row>
    <row r="43" spans="2:6">
      <c r="B43" s="405" t="s">
        <v>280</v>
      </c>
    </row>
  </sheetData>
  <mergeCells count="5">
    <mergeCell ref="B41:F41"/>
    <mergeCell ref="B8:F9"/>
    <mergeCell ref="B14:F17"/>
    <mergeCell ref="B30:F30"/>
    <mergeCell ref="B36:D3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38"/>
  <sheetViews>
    <sheetView view="pageBreakPreview" zoomScale="90" zoomScaleSheetLayoutView="90" workbookViewId="0"/>
  </sheetViews>
  <sheetFormatPr defaultRowHeight="15"/>
  <cols>
    <col min="2" max="2" width="26.85546875" customWidth="1"/>
    <col min="3" max="3" width="13.140625" customWidth="1"/>
    <col min="4" max="4" width="13.5703125" bestFit="1" customWidth="1"/>
    <col min="5" max="5" width="11.5703125" customWidth="1"/>
    <col min="6" max="6" width="10.7109375" customWidth="1"/>
  </cols>
  <sheetData>
    <row r="2" spans="2:6" ht="24">
      <c r="B2" s="270" t="s">
        <v>178</v>
      </c>
      <c r="C2" s="270" t="s">
        <v>60</v>
      </c>
      <c r="D2" s="270" t="s">
        <v>62</v>
      </c>
      <c r="E2" s="271" t="s">
        <v>36</v>
      </c>
      <c r="F2" s="270" t="s">
        <v>62</v>
      </c>
    </row>
    <row r="3" spans="2:6">
      <c r="B3" s="2" t="s">
        <v>48</v>
      </c>
      <c r="C3" s="85">
        <f>'2. Użyteczność publiczna'!C55</f>
        <v>2763.1215139166666</v>
      </c>
      <c r="D3" s="86">
        <f t="shared" ref="D3:D8" si="0">C3/$C$9</f>
        <v>1.0750555085610906E-2</v>
      </c>
      <c r="E3" s="85">
        <f>'2. Użyteczność publiczna'!E55</f>
        <v>783.89810850766673</v>
      </c>
      <c r="F3" s="86">
        <f t="shared" ref="F3:F8" si="1">E3/$E$9</f>
        <v>9.2666183030854082E-3</v>
      </c>
    </row>
    <row r="4" spans="2:6">
      <c r="B4" s="2" t="s">
        <v>49</v>
      </c>
      <c r="C4" s="85">
        <f>'3. Mieszkalnictwo'!C34</f>
        <v>43463.95755087502</v>
      </c>
      <c r="D4" s="86">
        <f t="shared" si="0"/>
        <v>0.1691064499103416</v>
      </c>
      <c r="E4" s="85">
        <f>'3. Mieszkalnictwo'!E34</f>
        <v>13388.086635297033</v>
      </c>
      <c r="F4" s="86">
        <f t="shared" si="1"/>
        <v>0.15826328359704578</v>
      </c>
    </row>
    <row r="5" spans="2:6">
      <c r="B5" s="2" t="s">
        <v>152</v>
      </c>
      <c r="C5" s="85">
        <f>'4. Transport'!C14</f>
        <v>158877.99872184644</v>
      </c>
      <c r="D5" s="86">
        <f t="shared" si="0"/>
        <v>0.61815112674134165</v>
      </c>
      <c r="E5" s="85">
        <f>'4. Transport'!E14</f>
        <v>40692.053236959648</v>
      </c>
      <c r="F5" s="86">
        <f t="shared" si="1"/>
        <v>0.48102900265136711</v>
      </c>
    </row>
    <row r="6" spans="2:6">
      <c r="B6" s="2" t="s">
        <v>43</v>
      </c>
      <c r="C6" s="85">
        <f>'5. Oświetlenie'!B8</f>
        <v>596.54</v>
      </c>
      <c r="D6" s="86">
        <f t="shared" si="0"/>
        <v>2.3209750633369159E-3</v>
      </c>
      <c r="E6" s="85">
        <f>'5. Oświetlenie'!D8</f>
        <v>496.32127999999994</v>
      </c>
      <c r="F6" s="86">
        <f t="shared" si="1"/>
        <v>5.867114370532756E-3</v>
      </c>
    </row>
    <row r="7" spans="2:6">
      <c r="B7" s="2" t="s">
        <v>153</v>
      </c>
      <c r="C7" s="85">
        <f>'6. Wod-kan'!C4</f>
        <v>503.30900000000003</v>
      </c>
      <c r="D7" s="86">
        <f t="shared" si="0"/>
        <v>1.9582385726909174E-3</v>
      </c>
      <c r="E7" s="85">
        <f>'6. Wod-kan'!F4</f>
        <v>418.75308799999999</v>
      </c>
      <c r="F7" s="86">
        <f t="shared" si="1"/>
        <v>4.9501650630611044E-3</v>
      </c>
    </row>
    <row r="8" spans="2:6">
      <c r="B8" s="2" t="s">
        <v>91</v>
      </c>
      <c r="C8" s="85">
        <f>'7. Przemysł i usługi'!C34</f>
        <v>50816.361129459336</v>
      </c>
      <c r="D8" s="86">
        <f t="shared" si="0"/>
        <v>0.19771265462667795</v>
      </c>
      <c r="E8" s="85">
        <f>'7. Przemysł i usługi'!E34</f>
        <v>28814.65021580147</v>
      </c>
      <c r="F8" s="86">
        <f t="shared" si="1"/>
        <v>0.34062381601490793</v>
      </c>
    </row>
    <row r="9" spans="2:6">
      <c r="B9" s="95" t="s">
        <v>50</v>
      </c>
      <c r="C9" s="312">
        <f>SUM(C3:C8)</f>
        <v>257021.28791609747</v>
      </c>
      <c r="D9" s="313">
        <f>SUM(D3:D8)</f>
        <v>1</v>
      </c>
      <c r="E9" s="312">
        <f>SUM(E3:E8)</f>
        <v>84593.762564565812</v>
      </c>
      <c r="F9" s="313">
        <f>SUM(F3:F8)</f>
        <v>1.0000000000000002</v>
      </c>
    </row>
    <row r="27" spans="2:6" ht="24">
      <c r="B27" s="270" t="s">
        <v>179</v>
      </c>
      <c r="C27" s="270" t="s">
        <v>60</v>
      </c>
      <c r="D27" s="270" t="s">
        <v>62</v>
      </c>
      <c r="E27" s="271" t="s">
        <v>36</v>
      </c>
      <c r="F27" s="270" t="s">
        <v>62</v>
      </c>
    </row>
    <row r="28" spans="2:6">
      <c r="B28" s="2" t="s">
        <v>4</v>
      </c>
      <c r="C28" s="40">
        <f>'2. Użyteczność publiczna'!C48+'3. Mieszkalnictwo'!C27+'5. Oświetlenie'!B7+'6. Wod-kan'!C3+'7. Przemysł i usługi'!C27</f>
        <v>40358.586000000003</v>
      </c>
      <c r="D28" s="47">
        <f t="shared" ref="D28:D37" si="2">C28/$C$38</f>
        <v>0.15702429291839334</v>
      </c>
      <c r="E28" s="40">
        <f>'2. Użyteczność publiczna'!E48+'3. Mieszkalnictwo'!E27+'5. Oświetlenie'!D7+'6. Wod-kan'!F3+'7. Przemysł i usługi'!E27</f>
        <v>33578.343551999998</v>
      </c>
      <c r="F28" s="47">
        <f t="shared" ref="F28:F37" si="3">E28/$E$38</f>
        <v>0.39693639973008016</v>
      </c>
    </row>
    <row r="29" spans="2:6">
      <c r="B29" s="2" t="s">
        <v>9</v>
      </c>
      <c r="C29" s="40">
        <f>'2. Użyteczność publiczna'!C49+'3. Mieszkalnictwo'!C28+'7. Przemysł i usługi'!C28</f>
        <v>2935.8333333333335</v>
      </c>
      <c r="D29" s="47">
        <f t="shared" si="2"/>
        <v>1.1422529850102192E-2</v>
      </c>
      <c r="E29" s="40">
        <f>'2. Użyteczność publiczna'!E49+'3. Mieszkalnictwo'!E28+'7. Przemysł i usługi'!E28</f>
        <v>32.294166666666662</v>
      </c>
      <c r="F29" s="47">
        <f t="shared" si="3"/>
        <v>3.8175588468497632E-4</v>
      </c>
    </row>
    <row r="30" spans="2:6">
      <c r="B30" s="2" t="s">
        <v>55</v>
      </c>
      <c r="C30" s="40">
        <f>'2. Użyteczność publiczna'!C50+'3. Mieszkalnictwo'!C30+'7. Przemysł i usługi'!C30</f>
        <v>21645.766278320887</v>
      </c>
      <c r="D30" s="47">
        <f t="shared" si="2"/>
        <v>8.4217795552355076E-2</v>
      </c>
      <c r="E30" s="40">
        <f>'2. Użyteczność publiczna'!E50+'3. Mieszkalnictwo'!E30+'7. Przemysł i usługi'!E30</f>
        <v>7381.2063009074236</v>
      </c>
      <c r="F30" s="47">
        <f t="shared" si="3"/>
        <v>8.725473459433547E-2</v>
      </c>
    </row>
    <row r="31" spans="2:6">
      <c r="B31" s="2" t="s">
        <v>10</v>
      </c>
      <c r="C31" s="40">
        <f>'2. Użyteczność publiczna'!C53+'3. Mieszkalnictwo'!C29+'7. Przemysł i usługi'!C29</f>
        <v>958.75527229866657</v>
      </c>
      <c r="D31" s="47">
        <f t="shared" si="2"/>
        <v>3.7302562759379079E-3</v>
      </c>
      <c r="E31" s="40">
        <f>'2. Użyteczność publiczna'!E53+'3. Mieszkalnictwo'!E29+'7. Przemysł i usługi'!E29</f>
        <v>192.70980973203197</v>
      </c>
      <c r="F31" s="47">
        <f t="shared" si="3"/>
        <v>2.2780616902451528E-3</v>
      </c>
    </row>
    <row r="32" spans="2:6">
      <c r="B32" s="2" t="s">
        <v>56</v>
      </c>
      <c r="C32" s="40">
        <f>'2. Użyteczność publiczna'!C54+'3. Mieszkalnictwo'!C33+'7. Przemysł i usługi'!C33</f>
        <v>4070.2221718801329</v>
      </c>
      <c r="D32" s="47">
        <f t="shared" si="2"/>
        <v>1.583612861362995E-2</v>
      </c>
      <c r="E32" s="40">
        <f>'2. Użyteczność publiczna'!E54+'3. Mieszkalnictwo'!E33+'7. Przemysł i usługi'!E33</f>
        <v>915.79998867302993</v>
      </c>
      <c r="F32" s="47">
        <f t="shared" si="3"/>
        <v>1.0825857142529266E-2</v>
      </c>
    </row>
    <row r="33" spans="2:6">
      <c r="B33" s="2" t="s">
        <v>16</v>
      </c>
      <c r="C33" s="40">
        <f>'2. Użyteczność publiczna'!C51+'3. Mieszkalnictwo'!C32+'7. Przemysł i usługi'!C32</f>
        <v>6526.6503971993334</v>
      </c>
      <c r="D33" s="47">
        <f t="shared" si="2"/>
        <v>2.5393423440201211E-2</v>
      </c>
      <c r="E33" s="40">
        <f>'2. Użyteczność publiczna'!E51+'3. Mieszkalnictwo'!E32+'7. Przemysł i usługi'!E32</f>
        <v>1801.3555096270161</v>
      </c>
      <c r="F33" s="47">
        <f t="shared" si="3"/>
        <v>2.1294188306757712E-2</v>
      </c>
    </row>
    <row r="34" spans="2:6">
      <c r="B34" s="2" t="s">
        <v>84</v>
      </c>
      <c r="C34" s="40">
        <f>'2. Użyteczność publiczna'!C52+'3. Mieszkalnictwo'!C31+'7. Przemysł i usługi'!C31</f>
        <v>21647.475741218663</v>
      </c>
      <c r="D34" s="47">
        <f t="shared" si="2"/>
        <v>8.4224446608038586E-2</v>
      </c>
      <c r="E34" s="40">
        <f>'2. Użyteczność publiczna'!E52+'3. Mieszkalnictwo'!E31+'7. Przemysł i usługi'!E31</f>
        <v>0</v>
      </c>
      <c r="F34" s="47">
        <f t="shared" si="3"/>
        <v>0</v>
      </c>
    </row>
    <row r="35" spans="2:6">
      <c r="B35" s="2" t="s">
        <v>20</v>
      </c>
      <c r="C35" s="40">
        <f>'4. Transport'!C11</f>
        <v>107569.52346560209</v>
      </c>
      <c r="D35" s="47">
        <f t="shared" si="2"/>
        <v>0.41852378975206633</v>
      </c>
      <c r="E35" s="40">
        <f>'4. Transport'!E11</f>
        <v>28398.354194918953</v>
      </c>
      <c r="F35" s="47">
        <f t="shared" si="3"/>
        <v>0.33570269643987083</v>
      </c>
    </row>
    <row r="36" spans="2:6">
      <c r="B36" s="2" t="s">
        <v>78</v>
      </c>
      <c r="C36" s="40">
        <f>'4. Transport'!C12</f>
        <v>34058.732244805513</v>
      </c>
      <c r="D36" s="47">
        <f t="shared" si="2"/>
        <v>0.13251327359282283</v>
      </c>
      <c r="E36" s="40">
        <f>'4. Transport'!E12</f>
        <v>8412.5068644669609</v>
      </c>
      <c r="F36" s="47">
        <f t="shared" si="3"/>
        <v>9.9445947424860667E-2</v>
      </c>
    </row>
    <row r="37" spans="2:6">
      <c r="B37" s="2" t="s">
        <v>79</v>
      </c>
      <c r="C37" s="40">
        <f>'4. Transport'!C13</f>
        <v>17249.743011438837</v>
      </c>
      <c r="D37" s="47">
        <f t="shared" si="2"/>
        <v>6.7114063396452497E-2</v>
      </c>
      <c r="E37" s="40">
        <f>'4. Transport'!E13</f>
        <v>3881.1921775737383</v>
      </c>
      <c r="F37" s="47">
        <f t="shared" si="3"/>
        <v>4.5880358786635531E-2</v>
      </c>
    </row>
    <row r="38" spans="2:6">
      <c r="B38" s="95" t="s">
        <v>50</v>
      </c>
      <c r="C38" s="96">
        <f>SUM(C28:C37)</f>
        <v>257021.28791609747</v>
      </c>
      <c r="D38" s="97">
        <f>SUM(D28:D37)</f>
        <v>1</v>
      </c>
      <c r="E38" s="96">
        <f>SUM(E28:E37)</f>
        <v>84593.762564565841</v>
      </c>
      <c r="F38" s="97">
        <f>SUM(F28:F37)</f>
        <v>0.99999999999999978</v>
      </c>
    </row>
  </sheetData>
  <pageMargins left="0.7" right="0.7" top="0.75" bottom="0.75" header="0.3" footer="0.3"/>
  <pageSetup paperSize="9" scale="2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120"/>
  <sheetViews>
    <sheetView view="pageBreakPreview" zoomScale="90" zoomScaleSheetLayoutView="90" workbookViewId="0"/>
  </sheetViews>
  <sheetFormatPr defaultRowHeight="12"/>
  <cols>
    <col min="1" max="1" width="9.140625" style="7"/>
    <col min="2" max="2" width="18.85546875" style="7" customWidth="1"/>
    <col min="3" max="24" width="10.7109375" style="7" customWidth="1"/>
    <col min="25" max="16384" width="9.140625" style="7"/>
  </cols>
  <sheetData>
    <row r="2" spans="1:14" s="189" customFormat="1">
      <c r="A2" s="189" t="s">
        <v>93</v>
      </c>
    </row>
    <row r="3" spans="1:14" s="189" customFormat="1"/>
    <row r="4" spans="1:14" s="189" customFormat="1" ht="12" customHeight="1">
      <c r="B4" s="601" t="s">
        <v>97</v>
      </c>
      <c r="C4" s="601"/>
      <c r="D4" s="601"/>
      <c r="E4" s="250">
        <v>1E-3</v>
      </c>
    </row>
    <row r="5" spans="1:14" s="189" customFormat="1" ht="12" customHeight="1">
      <c r="B5" s="601" t="s">
        <v>98</v>
      </c>
      <c r="C5" s="601"/>
      <c r="D5" s="601"/>
      <c r="E5" s="250">
        <v>2E-3</v>
      </c>
    </row>
    <row r="6" spans="1:14" s="189" customFormat="1"/>
    <row r="7" spans="1:14" s="189" customFormat="1" ht="12" customHeight="1">
      <c r="C7" s="598">
        <v>2014</v>
      </c>
      <c r="D7" s="599"/>
      <c r="E7" s="599"/>
      <c r="F7" s="602"/>
      <c r="G7" s="603" t="s">
        <v>95</v>
      </c>
      <c r="H7" s="598">
        <v>2020</v>
      </c>
      <c r="I7" s="599"/>
      <c r="J7" s="599"/>
      <c r="K7" s="599"/>
      <c r="L7" s="602"/>
      <c r="M7" s="594" t="s">
        <v>199</v>
      </c>
      <c r="N7" s="595"/>
    </row>
    <row r="8" spans="1:14" s="189" customFormat="1" ht="36">
      <c r="B8" s="314" t="s">
        <v>59</v>
      </c>
      <c r="C8" s="270" t="s">
        <v>60</v>
      </c>
      <c r="D8" s="270" t="s">
        <v>62</v>
      </c>
      <c r="E8" s="270" t="s">
        <v>36</v>
      </c>
      <c r="F8" s="270" t="s">
        <v>62</v>
      </c>
      <c r="G8" s="604"/>
      <c r="H8" s="270" t="s">
        <v>60</v>
      </c>
      <c r="I8" s="270" t="s">
        <v>62</v>
      </c>
      <c r="J8" s="270" t="s">
        <v>19</v>
      </c>
      <c r="K8" s="270" t="s">
        <v>36</v>
      </c>
      <c r="L8" s="270" t="s">
        <v>62</v>
      </c>
      <c r="M8" s="270" t="s">
        <v>60</v>
      </c>
      <c r="N8" s="270" t="s">
        <v>36</v>
      </c>
    </row>
    <row r="9" spans="1:14" s="189" customFormat="1">
      <c r="B9" s="251" t="str">
        <f>'2. Użyteczność publiczna'!B48</f>
        <v>energia elektryczna</v>
      </c>
      <c r="C9" s="252">
        <f>'2. Użyteczność publiczna'!C48</f>
        <v>288.709</v>
      </c>
      <c r="D9" s="253">
        <f>'2. Użyteczność publiczna'!D48</f>
        <v>0.10448653761548152</v>
      </c>
      <c r="E9" s="252">
        <f>'2. Użyteczność publiczna'!E48</f>
        <v>240.20588800000002</v>
      </c>
      <c r="F9" s="253">
        <f>'2. Użyteczność publiczna'!F48</f>
        <v>0.30642488531741463</v>
      </c>
      <c r="G9" s="254">
        <f>(1+$E$5)^6-1</f>
        <v>1.2060160240191742E-2</v>
      </c>
      <c r="H9" s="252">
        <f>C9*(1+G9)</f>
        <v>292.19087680278551</v>
      </c>
      <c r="I9" s="253">
        <f>H9/$H$16</f>
        <v>0.10504844117268018</v>
      </c>
      <c r="J9" s="255">
        <f>'1.Metodologia'!D17</f>
        <v>0.83199999999999996</v>
      </c>
      <c r="K9" s="252">
        <f t="shared" ref="K9:K15" si="0">H9*J9</f>
        <v>243.10280949991753</v>
      </c>
      <c r="L9" s="253">
        <f>K9/$K$16</f>
        <v>0.3076996220935983</v>
      </c>
      <c r="M9" s="254">
        <f>H9/C9-1</f>
        <v>1.2060160240191742E-2</v>
      </c>
      <c r="N9" s="254">
        <f>K9/E9-1</f>
        <v>1.206016024019152E-2</v>
      </c>
    </row>
    <row r="10" spans="1:14" s="189" customFormat="1">
      <c r="B10" s="251" t="str">
        <f>'2. Użyteczność publiczna'!B49</f>
        <v>ciepło sieciowe</v>
      </c>
      <c r="C10" s="252">
        <f>'2. Użyteczność publiczna'!C49</f>
        <v>666.02527777777777</v>
      </c>
      <c r="D10" s="253">
        <f>'2. Użyteczność publiczna'!D49</f>
        <v>0.241040893215623</v>
      </c>
      <c r="E10" s="252">
        <f>'2. Użyteczność publiczna'!E49</f>
        <v>7.3262780555555551</v>
      </c>
      <c r="F10" s="253">
        <f>'2. Użyteczność publiczna'!F49</f>
        <v>9.3459570523812558E-3</v>
      </c>
      <c r="G10" s="254">
        <f>(1+$E$4)^6-1</f>
        <v>6.0150200150050903E-3</v>
      </c>
      <c r="H10" s="252">
        <f t="shared" ref="H10:H15" si="1">C10*(1+G10)</f>
        <v>670.03143315411046</v>
      </c>
      <c r="I10" s="253">
        <f t="shared" ref="I10:I16" si="2">H10/$H$16</f>
        <v>0.24088964843704921</v>
      </c>
      <c r="J10" s="255">
        <f>'1.Metodologia'!D18</f>
        <v>1.0999999999999999E-2</v>
      </c>
      <c r="K10" s="252">
        <f t="shared" si="0"/>
        <v>7.3703457646952142</v>
      </c>
      <c r="L10" s="253">
        <f t="shared" ref="L10:L16" si="3">K10/$K$16</f>
        <v>9.3287799148065367E-3</v>
      </c>
      <c r="M10" s="254">
        <f t="shared" ref="M10:M16" si="4">H10/C10-1</f>
        <v>6.0150200150050903E-3</v>
      </c>
      <c r="N10" s="254">
        <f t="shared" ref="N10:N16" si="5">K10/E10-1</f>
        <v>6.0150200150050903E-3</v>
      </c>
    </row>
    <row r="11" spans="1:14" s="189" customFormat="1">
      <c r="B11" s="251" t="str">
        <f>'2. Użyteczność publiczna'!B50</f>
        <v>węgiel kamienny</v>
      </c>
      <c r="C11" s="252">
        <f>'2. Użyteczność publiczna'!C50</f>
        <v>750.01638888888897</v>
      </c>
      <c r="D11" s="253">
        <f>'2. Użyteczność publiczna'!D50</f>
        <v>0.27143807650563889</v>
      </c>
      <c r="E11" s="252">
        <f>'2. Użyteczność publiczna'!E50</f>
        <v>255.75558861111114</v>
      </c>
      <c r="F11" s="253">
        <f>'2. Użyteczność publiczna'!F50</f>
        <v>0.32626126512538939</v>
      </c>
      <c r="G11" s="254">
        <f t="shared" ref="G11:G15" si="6">(1+$E$4)^6-1</f>
        <v>6.0150200150050903E-3</v>
      </c>
      <c r="H11" s="252">
        <f t="shared" si="1"/>
        <v>754.52775247963746</v>
      </c>
      <c r="I11" s="253">
        <f t="shared" si="2"/>
        <v>0.27126775855157764</v>
      </c>
      <c r="J11" s="255">
        <f>'1.Metodologia'!D21</f>
        <v>0.34100000000000003</v>
      </c>
      <c r="K11" s="252">
        <f t="shared" si="0"/>
        <v>257.29396359555642</v>
      </c>
      <c r="L11" s="253">
        <f t="shared" si="3"/>
        <v>0.32566162245584257</v>
      </c>
      <c r="M11" s="254">
        <f t="shared" si="4"/>
        <v>6.0150200150050903E-3</v>
      </c>
      <c r="N11" s="254">
        <f t="shared" si="5"/>
        <v>6.0150200150053124E-3</v>
      </c>
    </row>
    <row r="12" spans="1:14" s="189" customFormat="1">
      <c r="B12" s="251" t="str">
        <f>'2. Użyteczność publiczna'!B51</f>
        <v>olej opałowy</v>
      </c>
      <c r="C12" s="252">
        <f>'2. Użyteczność publiczna'!C51</f>
        <v>1016.7041805833333</v>
      </c>
      <c r="D12" s="253">
        <f>'2. Użyteczność publiczna'!D51</f>
        <v>0.36795492904044474</v>
      </c>
      <c r="E12" s="252">
        <f>'2. Użyteczność publiczna'!E51</f>
        <v>280.61035384100001</v>
      </c>
      <c r="F12" s="253">
        <f>'2. Użyteczność publiczna'!F51</f>
        <v>0.3579678925048147</v>
      </c>
      <c r="G12" s="254">
        <f t="shared" si="6"/>
        <v>6.0150200150050903E-3</v>
      </c>
      <c r="H12" s="252">
        <f t="shared" si="1"/>
        <v>1022.8196765788814</v>
      </c>
      <c r="I12" s="253">
        <f t="shared" si="2"/>
        <v>0.36772405011768011</v>
      </c>
      <c r="J12" s="255">
        <f>'1.Metodologia'!D22</f>
        <v>0.27600000000000002</v>
      </c>
      <c r="K12" s="252">
        <f t="shared" si="0"/>
        <v>282.29823073577131</v>
      </c>
      <c r="L12" s="253">
        <f t="shared" si="3"/>
        <v>0.35730997553575261</v>
      </c>
      <c r="M12" s="254">
        <f t="shared" si="4"/>
        <v>6.0150200150050903E-3</v>
      </c>
      <c r="N12" s="254">
        <f t="shared" si="5"/>
        <v>6.0150200150053124E-3</v>
      </c>
    </row>
    <row r="13" spans="1:14" s="189" customFormat="1">
      <c r="B13" s="251" t="str">
        <f>'2. Użyteczność publiczna'!B52</f>
        <v>biomasa</v>
      </c>
      <c r="C13" s="252">
        <f>'2. Użyteczność publiczna'!C52</f>
        <v>41.666666666666664</v>
      </c>
      <c r="D13" s="253">
        <f>'2. Użyteczność publiczna'!D52</f>
        <v>1.5079563622811883E-2</v>
      </c>
      <c r="E13" s="252">
        <f>'2. Użyteczność publiczna'!E52</f>
        <v>0</v>
      </c>
      <c r="F13" s="253">
        <f>'2. Użyteczność publiczna'!F52</f>
        <v>0</v>
      </c>
      <c r="G13" s="254">
        <f t="shared" si="6"/>
        <v>6.0150200150050903E-3</v>
      </c>
      <c r="H13" s="252">
        <f t="shared" ref="H13" si="7">C13*(1+G13)</f>
        <v>41.917292500625209</v>
      </c>
      <c r="I13" s="253">
        <f t="shared" ref="I13" si="8">H13/$H$16</f>
        <v>1.5070101721013E-2</v>
      </c>
      <c r="J13" s="255">
        <f>'1.Metodologia'!D23</f>
        <v>0</v>
      </c>
      <c r="K13" s="252">
        <f t="shared" ref="K13" si="9">H13*J13</f>
        <v>0</v>
      </c>
      <c r="L13" s="253">
        <f t="shared" ref="L13" si="10">K13/$K$16</f>
        <v>0</v>
      </c>
      <c r="M13" s="258" t="s">
        <v>18</v>
      </c>
      <c r="N13" s="258" t="s">
        <v>18</v>
      </c>
    </row>
    <row r="14" spans="1:14" s="189" customFormat="1">
      <c r="B14" s="251" t="str">
        <f>'2. Użyteczność publiczna'!B53</f>
        <v>gaz ziemny</v>
      </c>
      <c r="C14" s="252">
        <f>'2. Użyteczność publiczna'!C53</f>
        <v>0</v>
      </c>
      <c r="D14" s="253">
        <f>'2. Użyteczność publiczna'!D53</f>
        <v>0</v>
      </c>
      <c r="E14" s="252">
        <f>'2. Użyteczność publiczna'!E53</f>
        <v>0</v>
      </c>
      <c r="F14" s="253">
        <f>'2. Użyteczność publiczna'!F53</f>
        <v>0</v>
      </c>
      <c r="G14" s="254">
        <f t="shared" si="6"/>
        <v>6.0150200150050903E-3</v>
      </c>
      <c r="H14" s="252">
        <f t="shared" si="1"/>
        <v>0</v>
      </c>
      <c r="I14" s="253">
        <f t="shared" si="2"/>
        <v>0</v>
      </c>
      <c r="J14" s="255">
        <f>'1.Metodologia'!D19</f>
        <v>0.20100000000000001</v>
      </c>
      <c r="K14" s="252">
        <f t="shared" si="0"/>
        <v>0</v>
      </c>
      <c r="L14" s="253">
        <f t="shared" si="3"/>
        <v>0</v>
      </c>
      <c r="M14" s="258" t="s">
        <v>18</v>
      </c>
      <c r="N14" s="258" t="s">
        <v>18</v>
      </c>
    </row>
    <row r="15" spans="1:14" s="189" customFormat="1">
      <c r="B15" s="251" t="str">
        <f>'2. Użyteczność publiczna'!B54</f>
        <v>gaz płynny</v>
      </c>
      <c r="C15" s="252">
        <f>'2. Użyteczność publiczna'!C54</f>
        <v>0</v>
      </c>
      <c r="D15" s="253">
        <f>'2. Użyteczność publiczna'!D54</f>
        <v>0</v>
      </c>
      <c r="E15" s="252">
        <f>'2. Użyteczność publiczna'!E54</f>
        <v>0</v>
      </c>
      <c r="F15" s="253">
        <f>'2. Użyteczność publiczna'!F54</f>
        <v>0</v>
      </c>
      <c r="G15" s="254">
        <f t="shared" si="6"/>
        <v>6.0150200150050903E-3</v>
      </c>
      <c r="H15" s="252">
        <f t="shared" si="1"/>
        <v>0</v>
      </c>
      <c r="I15" s="253">
        <f t="shared" si="2"/>
        <v>0</v>
      </c>
      <c r="J15" s="255">
        <f>'1.Metodologia'!D20</f>
        <v>0.22500000000000001</v>
      </c>
      <c r="K15" s="252">
        <f t="shared" si="0"/>
        <v>0</v>
      </c>
      <c r="L15" s="253">
        <f t="shared" si="3"/>
        <v>0</v>
      </c>
      <c r="M15" s="258" t="s">
        <v>18</v>
      </c>
      <c r="N15" s="258" t="s">
        <v>18</v>
      </c>
    </row>
    <row r="16" spans="1:14" s="189" customFormat="1">
      <c r="B16" s="95" t="str">
        <f>'2. Użyteczność publiczna'!B55</f>
        <v>RAZEM</v>
      </c>
      <c r="C16" s="93">
        <f>SUM(C9:C15)</f>
        <v>2763.1215139166666</v>
      </c>
      <c r="D16" s="97">
        <f>'2. Użyteczność publiczna'!D55</f>
        <v>1</v>
      </c>
      <c r="E16" s="93">
        <f>SUM(E9:E15)</f>
        <v>783.89810850766673</v>
      </c>
      <c r="F16" s="97">
        <f>'2. Użyteczność publiczna'!F55</f>
        <v>1</v>
      </c>
      <c r="G16" s="213" t="s">
        <v>18</v>
      </c>
      <c r="H16" s="96">
        <f>SUM(H9:H15)</f>
        <v>2781.4870315160397</v>
      </c>
      <c r="I16" s="97">
        <f t="shared" si="2"/>
        <v>1</v>
      </c>
      <c r="J16" s="214" t="s">
        <v>18</v>
      </c>
      <c r="K16" s="96">
        <f>SUM(K9:K15)</f>
        <v>790.06534959594046</v>
      </c>
      <c r="L16" s="97">
        <f t="shared" si="3"/>
        <v>1</v>
      </c>
      <c r="M16" s="212">
        <f t="shared" si="4"/>
        <v>6.6466557865347831E-3</v>
      </c>
      <c r="N16" s="212">
        <f t="shared" si="5"/>
        <v>7.8674014152355642E-3</v>
      </c>
    </row>
    <row r="17" spans="1:14" s="189" customFormat="1"/>
    <row r="18" spans="1:14" s="189" customFormat="1">
      <c r="A18" s="189" t="s">
        <v>177</v>
      </c>
    </row>
    <row r="19" spans="1:14" s="189" customFormat="1"/>
    <row r="20" spans="1:14" s="189" customFormat="1">
      <c r="B20" s="601" t="s">
        <v>97</v>
      </c>
      <c r="C20" s="601"/>
      <c r="D20" s="601"/>
      <c r="E20" s="250">
        <v>1.5E-3</v>
      </c>
    </row>
    <row r="21" spans="1:14" s="189" customFormat="1">
      <c r="B21" s="601" t="s">
        <v>98</v>
      </c>
      <c r="C21" s="601"/>
      <c r="D21" s="601"/>
      <c r="E21" s="250">
        <v>2E-3</v>
      </c>
    </row>
    <row r="22" spans="1:14" s="189" customFormat="1">
      <c r="B22" s="601" t="s">
        <v>96</v>
      </c>
      <c r="C22" s="601"/>
      <c r="D22" s="601"/>
      <c r="E22" s="250">
        <v>1.5E-3</v>
      </c>
    </row>
    <row r="23" spans="1:14" s="189" customFormat="1"/>
    <row r="24" spans="1:14" s="189" customFormat="1">
      <c r="C24" s="598">
        <v>2014</v>
      </c>
      <c r="D24" s="599"/>
      <c r="E24" s="599"/>
      <c r="F24" s="602"/>
      <c r="G24" s="603" t="s">
        <v>95</v>
      </c>
      <c r="H24" s="598">
        <v>2020</v>
      </c>
      <c r="I24" s="599"/>
      <c r="J24" s="599"/>
      <c r="K24" s="599"/>
      <c r="L24" s="602"/>
      <c r="M24" s="594" t="s">
        <v>199</v>
      </c>
      <c r="N24" s="595"/>
    </row>
    <row r="25" spans="1:14" s="189" customFormat="1" ht="36">
      <c r="B25" s="314" t="s">
        <v>59</v>
      </c>
      <c r="C25" s="270" t="s">
        <v>60</v>
      </c>
      <c r="D25" s="270" t="s">
        <v>62</v>
      </c>
      <c r="E25" s="270" t="s">
        <v>36</v>
      </c>
      <c r="F25" s="270" t="s">
        <v>62</v>
      </c>
      <c r="G25" s="604"/>
      <c r="H25" s="270" t="s">
        <v>60</v>
      </c>
      <c r="I25" s="270" t="s">
        <v>62</v>
      </c>
      <c r="J25" s="270" t="s">
        <v>19</v>
      </c>
      <c r="K25" s="270" t="s">
        <v>36</v>
      </c>
      <c r="L25" s="270" t="s">
        <v>62</v>
      </c>
      <c r="M25" s="270" t="s">
        <v>60</v>
      </c>
      <c r="N25" s="270" t="s">
        <v>36</v>
      </c>
    </row>
    <row r="26" spans="1:14" s="189" customFormat="1">
      <c r="B26" s="256" t="str">
        <f>'3. Mieszkalnictwo'!B27</f>
        <v>energia elektryczna</v>
      </c>
      <c r="C26" s="257">
        <f>'3. Mieszkalnictwo'!C27</f>
        <v>9246.5300000000007</v>
      </c>
      <c r="D26" s="253">
        <f>C26/$C$33</f>
        <v>0.21274017648247609</v>
      </c>
      <c r="E26" s="257">
        <f>'3. Mieszkalnictwo'!E27</f>
        <v>7693.1129600000004</v>
      </c>
      <c r="F26" s="253">
        <f>E26/$E$33</f>
        <v>0.57462378079609122</v>
      </c>
      <c r="G26" s="254">
        <f>(1+$E$21)^6-1</f>
        <v>1.2060160240191742E-2</v>
      </c>
      <c r="H26" s="252">
        <f>C26*(1+G26)</f>
        <v>9358.0446334657408</v>
      </c>
      <c r="I26" s="253">
        <f>H26/$H$33</f>
        <v>0.21173726850500904</v>
      </c>
      <c r="J26" s="255">
        <f>'1.Metodologia'!D17</f>
        <v>0.83199999999999996</v>
      </c>
      <c r="K26" s="252">
        <f>H26*J26</f>
        <v>7785.8931350434959</v>
      </c>
      <c r="L26" s="253">
        <f>K26/$K$33</f>
        <v>0.57315690808527298</v>
      </c>
      <c r="M26" s="254">
        <f t="shared" ref="M26" si="11">H26/C26-1</f>
        <v>1.2060160240191742E-2</v>
      </c>
      <c r="N26" s="254">
        <f t="shared" ref="N26" si="12">K26/E26-1</f>
        <v>1.2060160240191742E-2</v>
      </c>
    </row>
    <row r="27" spans="1:14" s="189" customFormat="1">
      <c r="B27" s="256" t="str">
        <f>'3. Mieszkalnictwo'!B28</f>
        <v>ciepło sieciowe</v>
      </c>
      <c r="C27" s="257">
        <f>'3. Mieszkalnictwo'!C28</f>
        <v>1838.0555555555554</v>
      </c>
      <c r="D27" s="253">
        <f t="shared" ref="D27:D30" si="13">C27/$C$33</f>
        <v>4.2289189920271114E-2</v>
      </c>
      <c r="E27" s="257">
        <f>'3. Mieszkalnictwo'!E28</f>
        <v>20.218611111111109</v>
      </c>
      <c r="F27" s="253">
        <f t="shared" ref="F27:F30" si="14">E27/$E$33</f>
        <v>1.5101942243042955E-3</v>
      </c>
      <c r="G27" s="254">
        <f>(1+$E$20)^6*(1+$E$22)^6-1</f>
        <v>1.8149245011963355E-2</v>
      </c>
      <c r="H27" s="252">
        <f t="shared" ref="H27:H32" si="15">C27*(1+G27)</f>
        <v>1871.4148761789336</v>
      </c>
      <c r="I27" s="253">
        <f t="shared" ref="I27:I32" si="16">H27/$H$33</f>
        <v>4.2343063069471283E-2</v>
      </c>
      <c r="J27" s="255">
        <f>'1.Metodologia'!D18</f>
        <v>1.0999999999999999E-2</v>
      </c>
      <c r="K27" s="252">
        <f t="shared" ref="K27:K32" si="17">H27*J27</f>
        <v>20.585563637968267</v>
      </c>
      <c r="L27" s="253">
        <f t="shared" ref="L27:L32" si="18">K27/$K$33</f>
        <v>1.5154019970843847E-3</v>
      </c>
      <c r="M27" s="254">
        <f t="shared" ref="M27:M33" si="19">H27/C27-1</f>
        <v>1.8149245011963355E-2</v>
      </c>
      <c r="N27" s="254">
        <f t="shared" ref="N27:N33" si="20">K27/E27-1</f>
        <v>1.8149245011963355E-2</v>
      </c>
    </row>
    <row r="28" spans="1:14" s="189" customFormat="1">
      <c r="B28" s="256" t="str">
        <f>'3. Mieszkalnictwo'!B29</f>
        <v>gaz ziemny</v>
      </c>
      <c r="C28" s="257">
        <f>'3. Mieszkalnictwo'!C29</f>
        <v>126.09666666666666</v>
      </c>
      <c r="D28" s="253">
        <f t="shared" si="13"/>
        <v>2.9011777521425466E-3</v>
      </c>
      <c r="E28" s="257">
        <f>'3. Mieszkalnictwo'!E29</f>
        <v>25.34543</v>
      </c>
      <c r="F28" s="253">
        <f t="shared" si="14"/>
        <v>1.8931331033650483E-3</v>
      </c>
      <c r="G28" s="254">
        <f t="shared" ref="G28:G32" si="21">(1+$E$20)^6*(1+$E$22)^6-1</f>
        <v>1.8149245011963355E-2</v>
      </c>
      <c r="H28" s="252">
        <f t="shared" si="15"/>
        <v>128.38522596519186</v>
      </c>
      <c r="I28" s="253">
        <f t="shared" si="16"/>
        <v>2.9048736276651578E-3</v>
      </c>
      <c r="J28" s="255">
        <f>'1.Metodologia'!D19</f>
        <v>0.20100000000000001</v>
      </c>
      <c r="K28" s="252">
        <f t="shared" si="17"/>
        <v>25.805430419003567</v>
      </c>
      <c r="L28" s="253">
        <f t="shared" si="18"/>
        <v>1.8996614073978177E-3</v>
      </c>
      <c r="M28" s="254">
        <f t="shared" si="19"/>
        <v>1.8149245011963355E-2</v>
      </c>
      <c r="N28" s="254">
        <f t="shared" si="20"/>
        <v>1.8149245011963355E-2</v>
      </c>
    </row>
    <row r="29" spans="1:14" s="189" customFormat="1">
      <c r="B29" s="256" t="str">
        <f>'3. Mieszkalnictwo'!B30</f>
        <v>węgiel kamienny</v>
      </c>
      <c r="C29" s="257">
        <f>'3. Mieszkalnictwo'!C30</f>
        <v>12681.742675200001</v>
      </c>
      <c r="D29" s="253">
        <f>C29/$C$33</f>
        <v>0.29177606894990837</v>
      </c>
      <c r="E29" s="257">
        <f>'3. Mieszkalnictwo'!E30</f>
        <v>4324.4742522432007</v>
      </c>
      <c r="F29" s="253">
        <f>E29/$E$33</f>
        <v>0.32300913267486159</v>
      </c>
      <c r="G29" s="254">
        <f t="shared" si="21"/>
        <v>1.8149245011963355E-2</v>
      </c>
      <c r="H29" s="252">
        <f t="shared" si="15"/>
        <v>12911.906730190878</v>
      </c>
      <c r="I29" s="253">
        <f t="shared" si="16"/>
        <v>0.29214776903981821</v>
      </c>
      <c r="J29" s="255">
        <f>'1.Metodologia'!D21</f>
        <v>0.34100000000000003</v>
      </c>
      <c r="K29" s="252">
        <f t="shared" si="17"/>
        <v>4402.9601949950902</v>
      </c>
      <c r="L29" s="253">
        <f t="shared" si="18"/>
        <v>0.32412300143544398</v>
      </c>
      <c r="M29" s="254">
        <f t="shared" ref="M29:M32" si="22">H29/C29-1</f>
        <v>1.8149245011963355E-2</v>
      </c>
      <c r="N29" s="254">
        <f t="shared" ref="N29:N32" si="23">K29/E29-1</f>
        <v>1.8149245011963577E-2</v>
      </c>
    </row>
    <row r="30" spans="1:14" s="189" customFormat="1">
      <c r="B30" s="256" t="str">
        <f>'3. Mieszkalnictwo'!B31</f>
        <v>biomasa</v>
      </c>
      <c r="C30" s="257">
        <f>'3. Mieszkalnictwo'!C31</f>
        <v>14411.383826399999</v>
      </c>
      <c r="D30" s="253">
        <f t="shared" si="13"/>
        <v>0.33157090698727382</v>
      </c>
      <c r="E30" s="257">
        <f>'3. Mieszkalnictwo'!E31</f>
        <v>0</v>
      </c>
      <c r="F30" s="253">
        <f t="shared" si="14"/>
        <v>0</v>
      </c>
      <c r="G30" s="254">
        <f t="shared" si="21"/>
        <v>1.8149245011963355E-2</v>
      </c>
      <c r="H30" s="252">
        <f t="shared" si="15"/>
        <v>14672.939562426778</v>
      </c>
      <c r="I30" s="253">
        <f t="shared" si="16"/>
        <v>0.3319933026154766</v>
      </c>
      <c r="J30" s="255">
        <f>'1.Metodologia'!D23</f>
        <v>0</v>
      </c>
      <c r="K30" s="252">
        <f t="shared" si="17"/>
        <v>0</v>
      </c>
      <c r="L30" s="253">
        <f t="shared" si="18"/>
        <v>0</v>
      </c>
      <c r="M30" s="254">
        <f t="shared" si="22"/>
        <v>1.8149245011963355E-2</v>
      </c>
      <c r="N30" s="258" t="s">
        <v>18</v>
      </c>
    </row>
    <row r="31" spans="1:14" s="189" customFormat="1">
      <c r="B31" s="256" t="str">
        <f>'3. Mieszkalnictwo'!B32</f>
        <v>olej opałowy</v>
      </c>
      <c r="C31" s="257">
        <f>'3. Mieszkalnictwo'!C32</f>
        <v>3213.7626638399997</v>
      </c>
      <c r="D31" s="253">
        <f>C31/$C$33</f>
        <v>7.3940866063065172E-2</v>
      </c>
      <c r="E31" s="257">
        <f>'3. Mieszkalnictwo'!E32</f>
        <v>886.99849521984004</v>
      </c>
      <c r="F31" s="253">
        <f>E31/$E$33</f>
        <v>6.6252820091656117E-2</v>
      </c>
      <c r="G31" s="254">
        <f t="shared" si="21"/>
        <v>1.8149245011963355E-2</v>
      </c>
      <c r="H31" s="252">
        <f t="shared" si="15"/>
        <v>3272.0900298363317</v>
      </c>
      <c r="I31" s="253">
        <f t="shared" si="16"/>
        <v>7.4035060993658905E-2</v>
      </c>
      <c r="J31" s="255">
        <f>'1.Metodologia'!D22</f>
        <v>0.27600000000000002</v>
      </c>
      <c r="K31" s="252">
        <f t="shared" si="17"/>
        <v>903.09684823482758</v>
      </c>
      <c r="L31" s="253">
        <f t="shared" si="18"/>
        <v>6.6481287150743446E-2</v>
      </c>
      <c r="M31" s="254">
        <f t="shared" si="22"/>
        <v>1.8149245011963355E-2</v>
      </c>
      <c r="N31" s="254">
        <f t="shared" si="23"/>
        <v>1.8149245011963133E-2</v>
      </c>
    </row>
    <row r="32" spans="1:14" s="189" customFormat="1">
      <c r="B32" s="256" t="str">
        <f>'3. Mieszkalnictwo'!B33</f>
        <v>gaz płynny</v>
      </c>
      <c r="C32" s="257">
        <f>'3. Mieszkalnictwo'!C33</f>
        <v>1946.3861632127998</v>
      </c>
      <c r="D32" s="253">
        <f>C32/$C$33</f>
        <v>4.4781613844862934E-2</v>
      </c>
      <c r="E32" s="257">
        <f>'3. Mieszkalnictwo'!E33</f>
        <v>437.93688672287999</v>
      </c>
      <c r="F32" s="253">
        <f>E32/$E$33</f>
        <v>3.2710939109721691E-2</v>
      </c>
      <c r="G32" s="254">
        <f t="shared" si="21"/>
        <v>1.8149245011963355E-2</v>
      </c>
      <c r="H32" s="252">
        <f t="shared" si="15"/>
        <v>1981.7116025768441</v>
      </c>
      <c r="I32" s="253">
        <f t="shared" si="16"/>
        <v>4.4838662148900851E-2</v>
      </c>
      <c r="J32" s="255">
        <f>'1.Metodologia'!D20</f>
        <v>0.22500000000000001</v>
      </c>
      <c r="K32" s="252">
        <f t="shared" si="17"/>
        <v>445.88511057978997</v>
      </c>
      <c r="L32" s="253">
        <f t="shared" si="18"/>
        <v>3.2823739924057502E-2</v>
      </c>
      <c r="M32" s="254">
        <f t="shared" si="22"/>
        <v>1.8149245011963355E-2</v>
      </c>
      <c r="N32" s="254">
        <f t="shared" si="23"/>
        <v>1.8149245011963355E-2</v>
      </c>
    </row>
    <row r="33" spans="1:14" s="189" customFormat="1">
      <c r="B33" s="95" t="s">
        <v>50</v>
      </c>
      <c r="C33" s="93">
        <f>SUM(C26:C32)</f>
        <v>43463.95755087502</v>
      </c>
      <c r="D33" s="97">
        <f>SUM(D26:D32)</f>
        <v>1</v>
      </c>
      <c r="E33" s="93">
        <f>SUM(E26:E32)</f>
        <v>13388.086635297033</v>
      </c>
      <c r="F33" s="97">
        <f>SUM(F26:F32)</f>
        <v>0.99999999999999989</v>
      </c>
      <c r="G33" s="213" t="s">
        <v>18</v>
      </c>
      <c r="H33" s="96">
        <f>SUM(H26:H32)</f>
        <v>44196.492660640695</v>
      </c>
      <c r="I33" s="97">
        <f>SUM(I26:I32)</f>
        <v>1</v>
      </c>
      <c r="J33" s="214" t="s">
        <v>18</v>
      </c>
      <c r="K33" s="96">
        <f>SUM(K26:K32)</f>
        <v>13584.226282910175</v>
      </c>
      <c r="L33" s="97">
        <f>SUM(L26:L32)</f>
        <v>1</v>
      </c>
      <c r="M33" s="212">
        <f t="shared" si="19"/>
        <v>1.6853852042999939E-2</v>
      </c>
      <c r="N33" s="212">
        <f t="shared" si="20"/>
        <v>1.4650312098819951E-2</v>
      </c>
    </row>
    <row r="34" spans="1:14" s="189" customFormat="1"/>
    <row r="35" spans="1:14" s="189" customFormat="1">
      <c r="A35" s="189" t="s">
        <v>180</v>
      </c>
    </row>
    <row r="36" spans="1:14" s="189" customFormat="1">
      <c r="B36" s="601" t="s">
        <v>99</v>
      </c>
      <c r="C36" s="601"/>
      <c r="D36" s="601"/>
      <c r="E36" s="250">
        <v>5.0000000000000001E-3</v>
      </c>
    </row>
    <row r="37" spans="1:14" s="189" customFormat="1"/>
    <row r="38" spans="1:14" s="189" customFormat="1">
      <c r="C38" s="598">
        <v>2014</v>
      </c>
      <c r="D38" s="599"/>
      <c r="E38" s="599"/>
      <c r="F38" s="602"/>
      <c r="G38" s="603" t="s">
        <v>95</v>
      </c>
      <c r="H38" s="598">
        <v>2020</v>
      </c>
      <c r="I38" s="599"/>
      <c r="J38" s="599"/>
      <c r="K38" s="599"/>
      <c r="L38" s="602"/>
      <c r="M38" s="594" t="s">
        <v>199</v>
      </c>
      <c r="N38" s="595"/>
    </row>
    <row r="39" spans="1:14" s="189" customFormat="1" ht="36">
      <c r="B39" s="314" t="s">
        <v>59</v>
      </c>
      <c r="C39" s="270" t="s">
        <v>60</v>
      </c>
      <c r="D39" s="270" t="s">
        <v>62</v>
      </c>
      <c r="E39" s="270" t="s">
        <v>36</v>
      </c>
      <c r="F39" s="270" t="s">
        <v>62</v>
      </c>
      <c r="G39" s="604"/>
      <c r="H39" s="270" t="s">
        <v>60</v>
      </c>
      <c r="I39" s="270" t="s">
        <v>62</v>
      </c>
      <c r="J39" s="270" t="s">
        <v>19</v>
      </c>
      <c r="K39" s="270" t="s">
        <v>36</v>
      </c>
      <c r="L39" s="270" t="s">
        <v>62</v>
      </c>
      <c r="M39" s="270" t="s">
        <v>60</v>
      </c>
      <c r="N39" s="270" t="s">
        <v>36</v>
      </c>
    </row>
    <row r="40" spans="1:14" s="189" customFormat="1">
      <c r="B40" s="256" t="str">
        <f>'4. Transport'!B11</f>
        <v>olej napędowy</v>
      </c>
      <c r="C40" s="252">
        <f>'4. Transport'!C11</f>
        <v>107569.52346560209</v>
      </c>
      <c r="D40" s="253">
        <f>'4. Transport'!D11</f>
        <v>0.67705739203027104</v>
      </c>
      <c r="E40" s="252">
        <f>'4. Transport'!E11</f>
        <v>28398.354194918953</v>
      </c>
      <c r="F40" s="253">
        <f>'4. Transport'!F11</f>
        <v>0.69788452378031851</v>
      </c>
      <c r="G40" s="258">
        <f>(1+$E$36)^6-1</f>
        <v>3.0377509393764601E-2</v>
      </c>
      <c r="H40" s="252">
        <f t="shared" ref="H40:H42" si="24">C40*(1+G40)</f>
        <v>110837.2176751612</v>
      </c>
      <c r="I40" s="253">
        <f>H40/$H$43</f>
        <v>0.67705739203027093</v>
      </c>
      <c r="J40" s="255">
        <f>'1.Metodologia'!D25</f>
        <v>0.26400000000000001</v>
      </c>
      <c r="K40" s="252">
        <f t="shared" ref="K40:K42" si="25">H40*J40</f>
        <v>29261.025466242558</v>
      </c>
      <c r="L40" s="253">
        <f>K40/$K$43</f>
        <v>0.69788452378031851</v>
      </c>
      <c r="M40" s="254">
        <f t="shared" ref="M40" si="26">H40/C40-1</f>
        <v>3.0377509393764601E-2</v>
      </c>
      <c r="N40" s="254">
        <f t="shared" ref="N40" si="27">K40/E40-1</f>
        <v>3.0377509393764601E-2</v>
      </c>
    </row>
    <row r="41" spans="1:14" s="189" customFormat="1">
      <c r="B41" s="256" t="str">
        <f>'4. Transport'!B12</f>
        <v>benzyna</v>
      </c>
      <c r="C41" s="252">
        <f>'4. Transport'!C12</f>
        <v>34058.732244805513</v>
      </c>
      <c r="D41" s="253">
        <f>'4. Transport'!D12</f>
        <v>0.21437035032417162</v>
      </c>
      <c r="E41" s="252">
        <f>'4. Transport'!E12</f>
        <v>8412.5068644669609</v>
      </c>
      <c r="F41" s="253">
        <f>'4. Transport'!F12</f>
        <v>0.20673586598048771</v>
      </c>
      <c r="G41" s="258">
        <f t="shared" ref="G41:G42" si="28">(1+$E$36)^6-1</f>
        <v>3.0377509393764601E-2</v>
      </c>
      <c r="H41" s="252">
        <f t="shared" si="24"/>
        <v>35093.351703511806</v>
      </c>
      <c r="I41" s="253">
        <f t="shared" ref="I41:I42" si="29">H41/$H$43</f>
        <v>0.21437035032417159</v>
      </c>
      <c r="J41" s="255">
        <f>'1.Metodologia'!D24</f>
        <v>0.247</v>
      </c>
      <c r="K41" s="252">
        <f t="shared" si="25"/>
        <v>8668.0578707674158</v>
      </c>
      <c r="L41" s="253">
        <f t="shared" ref="L41:L42" si="30">K41/$K$43</f>
        <v>0.20673586598048771</v>
      </c>
      <c r="M41" s="254">
        <f t="shared" ref="M41:M43" si="31">H41/C41-1</f>
        <v>3.0377509393764601E-2</v>
      </c>
      <c r="N41" s="254">
        <f t="shared" ref="N41:N43" si="32">K41/E41-1</f>
        <v>3.0377509393764601E-2</v>
      </c>
    </row>
    <row r="42" spans="1:14" s="189" customFormat="1">
      <c r="B42" s="256" t="str">
        <f>'4. Transport'!B13</f>
        <v>gaz LPG</v>
      </c>
      <c r="C42" s="252">
        <f>'4. Transport'!C13</f>
        <v>17249.743011438837</v>
      </c>
      <c r="D42" s="253">
        <f>'4. Transport'!D13</f>
        <v>0.10857225764555732</v>
      </c>
      <c r="E42" s="252">
        <f>'4. Transport'!E13</f>
        <v>3881.1921775737383</v>
      </c>
      <c r="F42" s="253">
        <f>'4. Transport'!F13</f>
        <v>9.5379610239193863E-2</v>
      </c>
      <c r="G42" s="258">
        <f t="shared" si="28"/>
        <v>3.0377509393764601E-2</v>
      </c>
      <c r="H42" s="252">
        <f t="shared" si="24"/>
        <v>17773.747241808847</v>
      </c>
      <c r="I42" s="253">
        <f t="shared" si="29"/>
        <v>0.10857225764555731</v>
      </c>
      <c r="J42" s="255">
        <f>'1.Metodologia'!D26</f>
        <v>0.22500000000000001</v>
      </c>
      <c r="K42" s="252">
        <f t="shared" si="25"/>
        <v>3999.0931294069906</v>
      </c>
      <c r="L42" s="253">
        <f t="shared" si="30"/>
        <v>9.5379610239193863E-2</v>
      </c>
      <c r="M42" s="254">
        <f t="shared" si="31"/>
        <v>3.0377509393764601E-2</v>
      </c>
      <c r="N42" s="254">
        <f t="shared" si="32"/>
        <v>3.0377509393764601E-2</v>
      </c>
    </row>
    <row r="43" spans="1:14" s="189" customFormat="1">
      <c r="B43" s="95" t="str">
        <f>'4. Transport'!B14</f>
        <v>RAZEM</v>
      </c>
      <c r="C43" s="93">
        <f>'4. Transport'!C14</f>
        <v>158877.99872184644</v>
      </c>
      <c r="D43" s="97">
        <f>'4. Transport'!D14</f>
        <v>1</v>
      </c>
      <c r="E43" s="93">
        <f>'4. Transport'!E14</f>
        <v>40692.053236959648</v>
      </c>
      <c r="F43" s="97">
        <f>'4. Transport'!F14</f>
        <v>1.0000000000000002</v>
      </c>
      <c r="G43" s="213" t="s">
        <v>18</v>
      </c>
      <c r="H43" s="96">
        <f>SUM(H40:H42)</f>
        <v>163704.31662048187</v>
      </c>
      <c r="I43" s="97">
        <f>SUM(I40:I42)</f>
        <v>0.99999999999999989</v>
      </c>
      <c r="J43" s="214" t="s">
        <v>18</v>
      </c>
      <c r="K43" s="96">
        <f>SUM(K40:K42)</f>
        <v>41928.17646641696</v>
      </c>
      <c r="L43" s="97">
        <f>SUM(L40:L42)</f>
        <v>1.0000000000000002</v>
      </c>
      <c r="M43" s="212">
        <f t="shared" si="31"/>
        <v>3.0377509393764823E-2</v>
      </c>
      <c r="N43" s="212">
        <f t="shared" si="32"/>
        <v>3.0377509393764601E-2</v>
      </c>
    </row>
    <row r="44" spans="1:14" s="189" customFormat="1"/>
    <row r="45" spans="1:14" s="189" customFormat="1">
      <c r="A45" s="189" t="s">
        <v>181</v>
      </c>
    </row>
    <row r="46" spans="1:14" s="189" customFormat="1">
      <c r="C46" s="598">
        <v>2014</v>
      </c>
      <c r="D46" s="599"/>
      <c r="E46" s="599"/>
      <c r="F46" s="602"/>
      <c r="G46" s="603" t="s">
        <v>95</v>
      </c>
      <c r="H46" s="598">
        <v>2020</v>
      </c>
      <c r="I46" s="599"/>
      <c r="J46" s="599"/>
      <c r="K46" s="599"/>
      <c r="L46" s="602"/>
      <c r="M46" s="594" t="s">
        <v>199</v>
      </c>
      <c r="N46" s="595"/>
    </row>
    <row r="47" spans="1:14" s="189" customFormat="1" ht="36">
      <c r="B47" s="314" t="s">
        <v>59</v>
      </c>
      <c r="C47" s="270" t="s">
        <v>60</v>
      </c>
      <c r="D47" s="270" t="s">
        <v>62</v>
      </c>
      <c r="E47" s="270" t="s">
        <v>36</v>
      </c>
      <c r="F47" s="270" t="s">
        <v>62</v>
      </c>
      <c r="G47" s="604"/>
      <c r="H47" s="270" t="s">
        <v>60</v>
      </c>
      <c r="I47" s="270" t="s">
        <v>62</v>
      </c>
      <c r="J47" s="270" t="s">
        <v>19</v>
      </c>
      <c r="K47" s="270" t="s">
        <v>36</v>
      </c>
      <c r="L47" s="270" t="s">
        <v>62</v>
      </c>
      <c r="M47" s="270" t="s">
        <v>60</v>
      </c>
      <c r="N47" s="270" t="s">
        <v>36</v>
      </c>
    </row>
    <row r="48" spans="1:14" s="189" customFormat="1">
      <c r="B48" s="256" t="str">
        <f>'5. Oświetlenie'!A7</f>
        <v>energia elektryczna</v>
      </c>
      <c r="C48" s="252">
        <f>'5. Oświetlenie'!B7</f>
        <v>596.54</v>
      </c>
      <c r="D48" s="253">
        <f>'5. Oświetlenie'!C7</f>
        <v>1</v>
      </c>
      <c r="E48" s="252">
        <f>'5. Oświetlenie'!D7</f>
        <v>496.32127999999994</v>
      </c>
      <c r="F48" s="253">
        <f>'5. Oświetlenie'!E7</f>
        <v>1</v>
      </c>
      <c r="G48" s="258">
        <v>0</v>
      </c>
      <c r="H48" s="252">
        <f>C48*(1+G48)</f>
        <v>596.54</v>
      </c>
      <c r="I48" s="253">
        <f>H48/$H$49</f>
        <v>1</v>
      </c>
      <c r="J48" s="255">
        <f>'1.Metodologia'!D17</f>
        <v>0.83199999999999996</v>
      </c>
      <c r="K48" s="252">
        <f>H48*J48</f>
        <v>496.32127999999994</v>
      </c>
      <c r="L48" s="253">
        <f>K48/$K$49</f>
        <v>1</v>
      </c>
      <c r="M48" s="254">
        <f t="shared" ref="M48" si="33">H48/C48-1</f>
        <v>0</v>
      </c>
      <c r="N48" s="254">
        <f t="shared" ref="N48" si="34">K48/E48-1</f>
        <v>0</v>
      </c>
    </row>
    <row r="49" spans="1:14" s="189" customFormat="1">
      <c r="B49" s="95" t="str">
        <f>'5. Oświetlenie'!A8</f>
        <v>RAZEM</v>
      </c>
      <c r="C49" s="93">
        <f>'5. Oświetlenie'!B8</f>
        <v>596.54</v>
      </c>
      <c r="D49" s="97">
        <f>'5. Oświetlenie'!C8</f>
        <v>1</v>
      </c>
      <c r="E49" s="93">
        <f>'5. Oświetlenie'!D8</f>
        <v>496.32127999999994</v>
      </c>
      <c r="F49" s="97">
        <f>'5. Oświetlenie'!E8</f>
        <v>1</v>
      </c>
      <c r="G49" s="213" t="s">
        <v>18</v>
      </c>
      <c r="H49" s="96">
        <f>SUM(H48)</f>
        <v>596.54</v>
      </c>
      <c r="I49" s="97">
        <f>SUM(I48)</f>
        <v>1</v>
      </c>
      <c r="J49" s="214" t="s">
        <v>18</v>
      </c>
      <c r="K49" s="96">
        <f>SUM(K48)</f>
        <v>496.32127999999994</v>
      </c>
      <c r="L49" s="97">
        <f>SUM(L48)</f>
        <v>1</v>
      </c>
      <c r="M49" s="212">
        <f t="shared" ref="M49" si="35">H49/C49-1</f>
        <v>0</v>
      </c>
      <c r="N49" s="212">
        <f t="shared" ref="N49" si="36">K49/E49-1</f>
        <v>0</v>
      </c>
    </row>
    <row r="50" spans="1:14" s="189" customFormat="1"/>
    <row r="51" spans="1:14" s="189" customFormat="1"/>
    <row r="52" spans="1:14" s="189" customFormat="1">
      <c r="A52" s="189" t="s">
        <v>94</v>
      </c>
    </row>
    <row r="53" spans="1:14" s="189" customFormat="1">
      <c r="C53" s="598">
        <v>2014</v>
      </c>
      <c r="D53" s="599"/>
      <c r="E53" s="599"/>
      <c r="F53" s="602"/>
      <c r="G53" s="603" t="s">
        <v>95</v>
      </c>
      <c r="H53" s="598">
        <v>2020</v>
      </c>
      <c r="I53" s="599"/>
      <c r="J53" s="599"/>
      <c r="K53" s="599"/>
      <c r="L53" s="602"/>
      <c r="M53" s="594" t="s">
        <v>199</v>
      </c>
      <c r="N53" s="595"/>
    </row>
    <row r="54" spans="1:14" s="189" customFormat="1" ht="36">
      <c r="B54" s="314" t="s">
        <v>59</v>
      </c>
      <c r="C54" s="270" t="s">
        <v>60</v>
      </c>
      <c r="D54" s="270" t="s">
        <v>62</v>
      </c>
      <c r="E54" s="270" t="s">
        <v>36</v>
      </c>
      <c r="F54" s="270" t="s">
        <v>62</v>
      </c>
      <c r="G54" s="604"/>
      <c r="H54" s="270" t="s">
        <v>60</v>
      </c>
      <c r="I54" s="270" t="s">
        <v>62</v>
      </c>
      <c r="J54" s="270" t="s">
        <v>19</v>
      </c>
      <c r="K54" s="270" t="s">
        <v>36</v>
      </c>
      <c r="L54" s="270" t="s">
        <v>62</v>
      </c>
      <c r="M54" s="270" t="s">
        <v>60</v>
      </c>
      <c r="N54" s="270" t="s">
        <v>36</v>
      </c>
    </row>
    <row r="55" spans="1:14" s="189" customFormat="1">
      <c r="B55" s="256" t="str">
        <f>'6. Wod-kan'!B3</f>
        <v>energia elektryczna</v>
      </c>
      <c r="C55" s="252">
        <f>'6. Wod-kan'!C3</f>
        <v>503.30900000000003</v>
      </c>
      <c r="D55" s="253">
        <f>'6. Wod-kan'!D3</f>
        <v>1</v>
      </c>
      <c r="E55" s="252">
        <f>'6. Wod-kan'!F3</f>
        <v>418.75308799999999</v>
      </c>
      <c r="F55" s="253">
        <f>'6. Wod-kan'!G3</f>
        <v>1</v>
      </c>
      <c r="G55" s="258">
        <v>-1.9E-2</v>
      </c>
      <c r="H55" s="252">
        <f>C55*(1+G55)</f>
        <v>493.746129</v>
      </c>
      <c r="I55" s="253">
        <f>H55/$H$56</f>
        <v>1</v>
      </c>
      <c r="J55" s="255">
        <f>'1.Metodologia'!D17</f>
        <v>0.83199999999999996</v>
      </c>
      <c r="K55" s="252">
        <f>H55*J55</f>
        <v>410.79677932799996</v>
      </c>
      <c r="L55" s="253">
        <f>K55/$K$56</f>
        <v>1</v>
      </c>
      <c r="M55" s="254">
        <f t="shared" ref="M55" si="37">H55/C55-1</f>
        <v>-1.9000000000000017E-2</v>
      </c>
      <c r="N55" s="254">
        <f t="shared" ref="N55" si="38">K55/E55-1</f>
        <v>-1.9000000000000128E-2</v>
      </c>
    </row>
    <row r="56" spans="1:14" s="189" customFormat="1">
      <c r="B56" s="95" t="str">
        <f>'6. Wod-kan'!B4</f>
        <v>RAZEM</v>
      </c>
      <c r="C56" s="93">
        <f>'6. Wod-kan'!C4</f>
        <v>503.30900000000003</v>
      </c>
      <c r="D56" s="97">
        <f>'6. Wod-kan'!D4</f>
        <v>1</v>
      </c>
      <c r="E56" s="93">
        <f>'6. Wod-kan'!F4</f>
        <v>418.75308799999999</v>
      </c>
      <c r="F56" s="97">
        <f>'6. Wod-kan'!G4</f>
        <v>1</v>
      </c>
      <c r="G56" s="213" t="s">
        <v>18</v>
      </c>
      <c r="H56" s="96">
        <f>SUM(H55)</f>
        <v>493.746129</v>
      </c>
      <c r="I56" s="97">
        <f>SUM(I55)</f>
        <v>1</v>
      </c>
      <c r="J56" s="214" t="s">
        <v>18</v>
      </c>
      <c r="K56" s="96">
        <f>SUM(K55)</f>
        <v>410.79677932799996</v>
      </c>
      <c r="L56" s="97">
        <f>SUM(L55)</f>
        <v>1</v>
      </c>
      <c r="M56" s="212">
        <f t="shared" ref="M56" si="39">H56/C56-1</f>
        <v>-1.9000000000000017E-2</v>
      </c>
      <c r="N56" s="212">
        <f t="shared" ref="N56" si="40">K56/E56-1</f>
        <v>-1.9000000000000128E-2</v>
      </c>
    </row>
    <row r="57" spans="1:14" s="189" customFormat="1"/>
    <row r="58" spans="1:14" s="189" customFormat="1"/>
    <row r="59" spans="1:14" s="189" customFormat="1">
      <c r="A59" s="189" t="s">
        <v>182</v>
      </c>
    </row>
    <row r="60" spans="1:14" s="189" customFormat="1"/>
    <row r="61" spans="1:14" s="189" customFormat="1">
      <c r="B61" s="601" t="s">
        <v>96</v>
      </c>
      <c r="C61" s="601"/>
      <c r="D61" s="601"/>
      <c r="E61" s="250">
        <v>0</v>
      </c>
    </row>
    <row r="62" spans="1:14" s="189" customFormat="1">
      <c r="B62" s="601" t="s">
        <v>97</v>
      </c>
      <c r="C62" s="601"/>
      <c r="D62" s="601"/>
      <c r="E62" s="250">
        <v>1.5E-3</v>
      </c>
    </row>
    <row r="63" spans="1:14" s="189" customFormat="1">
      <c r="B63" s="601" t="s">
        <v>98</v>
      </c>
      <c r="C63" s="601"/>
      <c r="D63" s="601"/>
      <c r="E63" s="250">
        <v>2E-3</v>
      </c>
    </row>
    <row r="64" spans="1:14" s="189" customFormat="1"/>
    <row r="65" spans="1:14" s="189" customFormat="1">
      <c r="C65" s="598">
        <v>2014</v>
      </c>
      <c r="D65" s="599"/>
      <c r="E65" s="599"/>
      <c r="F65" s="602"/>
      <c r="G65" s="603" t="s">
        <v>95</v>
      </c>
      <c r="H65" s="598">
        <v>2020</v>
      </c>
      <c r="I65" s="599"/>
      <c r="J65" s="599"/>
      <c r="K65" s="599"/>
      <c r="L65" s="602"/>
      <c r="M65" s="594" t="s">
        <v>199</v>
      </c>
      <c r="N65" s="595"/>
    </row>
    <row r="66" spans="1:14" s="189" customFormat="1" ht="36">
      <c r="B66" s="314" t="s">
        <v>59</v>
      </c>
      <c r="C66" s="270" t="s">
        <v>60</v>
      </c>
      <c r="D66" s="270" t="s">
        <v>62</v>
      </c>
      <c r="E66" s="270" t="s">
        <v>36</v>
      </c>
      <c r="F66" s="270" t="s">
        <v>62</v>
      </c>
      <c r="G66" s="604"/>
      <c r="H66" s="270" t="s">
        <v>60</v>
      </c>
      <c r="I66" s="270" t="s">
        <v>62</v>
      </c>
      <c r="J66" s="270" t="s">
        <v>19</v>
      </c>
      <c r="K66" s="270" t="s">
        <v>36</v>
      </c>
      <c r="L66" s="270" t="s">
        <v>62</v>
      </c>
      <c r="M66" s="270" t="s">
        <v>60</v>
      </c>
      <c r="N66" s="270" t="s">
        <v>36</v>
      </c>
    </row>
    <row r="67" spans="1:14" s="189" customFormat="1">
      <c r="B67" s="256" t="str">
        <f>'7. Przemysł i usługi'!B27</f>
        <v>energia elektryczna</v>
      </c>
      <c r="C67" s="252">
        <f>'7. Przemysł i usługi'!C27</f>
        <v>29723.498</v>
      </c>
      <c r="D67" s="253">
        <f>'7. Przemysł i usługi'!D27</f>
        <v>0.5849198435180486</v>
      </c>
      <c r="E67" s="252">
        <f>'7. Przemysł i usługi'!E27</f>
        <v>24729.950335999998</v>
      </c>
      <c r="F67" s="253">
        <f>'7. Przemysł i usługi'!F27</f>
        <v>0.85824225353388151</v>
      </c>
      <c r="G67" s="254">
        <f>(1+$E$63)^6-1</f>
        <v>1.2060160240191742E-2</v>
      </c>
      <c r="H67" s="252">
        <f>C67*(1+G67)</f>
        <v>30081.968148779019</v>
      </c>
      <c r="I67" s="253">
        <f t="shared" ref="I67:I73" si="41">H67/$H$74</f>
        <v>0.58564675157361568</v>
      </c>
      <c r="J67" s="255">
        <f>'1.Metodologia'!D17</f>
        <v>0.83199999999999996</v>
      </c>
      <c r="K67" s="252">
        <f>H67*J67</f>
        <v>25028.197499784143</v>
      </c>
      <c r="L67" s="253">
        <f>K67/$K$74</f>
        <v>0.85860621264725978</v>
      </c>
      <c r="M67" s="254">
        <f t="shared" ref="M67:M74" si="42">H67/C67-1</f>
        <v>1.2060160240191742E-2</v>
      </c>
      <c r="N67" s="254">
        <f t="shared" ref="N67:N74" si="43">K67/E67-1</f>
        <v>1.2060160240191742E-2</v>
      </c>
    </row>
    <row r="68" spans="1:14" s="189" customFormat="1">
      <c r="B68" s="256" t="str">
        <f>'7. Przemysł i usługi'!B28</f>
        <v>ciepło sieciowe</v>
      </c>
      <c r="C68" s="252">
        <f>'7. Przemysł i usługi'!C28</f>
        <v>431.75250000000005</v>
      </c>
      <c r="D68" s="253">
        <f>'7. Przemysł i usługi'!D28</f>
        <v>8.4963285525319499E-3</v>
      </c>
      <c r="E68" s="252">
        <f>'7. Przemysł i usługi'!E28</f>
        <v>4.7492775000000007</v>
      </c>
      <c r="F68" s="253">
        <f>'7. Przemysł i usługi'!F28</f>
        <v>1.6482162595871376E-4</v>
      </c>
      <c r="G68" s="254">
        <f>(1+$E$62)^6-1</f>
        <v>9.0338175759836492E-3</v>
      </c>
      <c r="H68" s="252">
        <f t="shared" ref="H68:H73" si="44">C68*(1+G68)</f>
        <v>435.65287332297493</v>
      </c>
      <c r="I68" s="253">
        <f t="shared" si="41"/>
        <v>8.4814493790250182E-3</v>
      </c>
      <c r="J68" s="255">
        <f>'1.Metodologia'!D18</f>
        <v>1.0999999999999999E-2</v>
      </c>
      <c r="K68" s="252">
        <f t="shared" ref="K68:K73" si="45">H68*J68</f>
        <v>4.7921816065527238</v>
      </c>
      <c r="L68" s="253">
        <f t="shared" ref="L68:L73" si="46">K68/$K$74</f>
        <v>1.6439845096937491E-4</v>
      </c>
      <c r="M68" s="254">
        <f t="shared" si="42"/>
        <v>9.0338175759836492E-3</v>
      </c>
      <c r="N68" s="254">
        <f t="shared" si="43"/>
        <v>9.0338175759834272E-3</v>
      </c>
    </row>
    <row r="69" spans="1:14" s="189" customFormat="1">
      <c r="B69" s="256" t="str">
        <f>'7. Przemysł i usługi'!B29</f>
        <v>gaz ziemny</v>
      </c>
      <c r="C69" s="252">
        <f>'7. Przemysł i usługi'!C29</f>
        <v>832.65860563199988</v>
      </c>
      <c r="D69" s="253">
        <f>'7. Przemysł i usługi'!D29</f>
        <v>1.6385640119148354E-2</v>
      </c>
      <c r="E69" s="252">
        <f>'7. Przemysł i usługi'!E29</f>
        <v>167.36437973203198</v>
      </c>
      <c r="F69" s="253">
        <f>'7. Przemysł i usługi'!F29</f>
        <v>5.8083085679885215E-3</v>
      </c>
      <c r="G69" s="254">
        <f t="shared" ref="G69:G73" si="47">(1+$E$62)^6-1</f>
        <v>9.0338175759836492E-3</v>
      </c>
      <c r="H69" s="252">
        <f t="shared" si="44"/>
        <v>840.18069157835225</v>
      </c>
      <c r="I69" s="253">
        <f t="shared" si="41"/>
        <v>1.6356944809068533E-2</v>
      </c>
      <c r="J69" s="255">
        <f>'1.Metodologia'!D19</f>
        <v>0.20100000000000001</v>
      </c>
      <c r="K69" s="252">
        <f t="shared" si="45"/>
        <v>168.87631900724881</v>
      </c>
      <c r="L69" s="253">
        <f t="shared" si="46"/>
        <v>5.7933958955643889E-3</v>
      </c>
      <c r="M69" s="254">
        <f t="shared" si="42"/>
        <v>9.0338175759836492E-3</v>
      </c>
      <c r="N69" s="254">
        <f t="shared" si="43"/>
        <v>9.0338175759836492E-3</v>
      </c>
    </row>
    <row r="70" spans="1:14" s="189" customFormat="1">
      <c r="B70" s="256" t="str">
        <f>'7. Przemysł i usługi'!B30</f>
        <v>węgiel kamienny</v>
      </c>
      <c r="C70" s="252">
        <f>'7. Przemysł i usługi'!C30</f>
        <v>8214.0072142319987</v>
      </c>
      <c r="D70" s="253">
        <f>'7. Przemysł i usługi'!D30</f>
        <v>0.16164099576721094</v>
      </c>
      <c r="E70" s="252">
        <f>'7. Przemysł i usługi'!E30</f>
        <v>2800.9764600531116</v>
      </c>
      <c r="F70" s="253">
        <f>'7. Przemysł i usługi'!F30</f>
        <v>9.7206679209213623E-2</v>
      </c>
      <c r="G70" s="254">
        <f t="shared" si="47"/>
        <v>9.0338175759836492E-3</v>
      </c>
      <c r="H70" s="252">
        <f t="shared" si="44"/>
        <v>8288.2110569731849</v>
      </c>
      <c r="I70" s="253">
        <f t="shared" si="41"/>
        <v>0.16135792238945923</v>
      </c>
      <c r="J70" s="255">
        <f>'1.Metodologia'!D21</f>
        <v>0.34100000000000003</v>
      </c>
      <c r="K70" s="252">
        <f t="shared" si="45"/>
        <v>2826.2799704278564</v>
      </c>
      <c r="L70" s="253">
        <f t="shared" si="46"/>
        <v>9.6957103735129155E-2</v>
      </c>
      <c r="M70" s="254">
        <f t="shared" si="42"/>
        <v>9.0338175759836492E-3</v>
      </c>
      <c r="N70" s="254">
        <f t="shared" si="43"/>
        <v>9.0338175759838713E-3</v>
      </c>
    </row>
    <row r="71" spans="1:14" s="189" customFormat="1">
      <c r="B71" s="256" t="str">
        <f>'7. Przemysł i usługi'!B31</f>
        <v>biomasa</v>
      </c>
      <c r="C71" s="252">
        <f>'7. Przemysł i usługi'!C31</f>
        <v>7194.4252481519989</v>
      </c>
      <c r="D71" s="253">
        <f>'7. Przemysł i usługi'!D31</f>
        <v>0.14157694664172316</v>
      </c>
      <c r="E71" s="252">
        <f>'7. Przemysł i usługi'!E31</f>
        <v>0</v>
      </c>
      <c r="F71" s="253">
        <f>'7. Przemysł i usługi'!F31</f>
        <v>0</v>
      </c>
      <c r="G71" s="254">
        <f t="shared" si="47"/>
        <v>9.0338175759836492E-3</v>
      </c>
      <c r="H71" s="252">
        <f t="shared" si="44"/>
        <v>7259.4183734078551</v>
      </c>
      <c r="I71" s="253">
        <f t="shared" si="41"/>
        <v>0.14132901037835491</v>
      </c>
      <c r="J71" s="255">
        <f>'1.Metodologia'!D23</f>
        <v>0</v>
      </c>
      <c r="K71" s="252">
        <f t="shared" si="45"/>
        <v>0</v>
      </c>
      <c r="L71" s="253">
        <f t="shared" si="46"/>
        <v>0</v>
      </c>
      <c r="M71" s="254">
        <f t="shared" si="42"/>
        <v>9.0338175759836492E-3</v>
      </c>
      <c r="N71" s="258" t="s">
        <v>18</v>
      </c>
    </row>
    <row r="72" spans="1:14" s="189" customFormat="1">
      <c r="B72" s="256" t="str">
        <f>'7. Przemysł i usługi'!B32</f>
        <v>olej opałowy</v>
      </c>
      <c r="C72" s="252">
        <f>'7. Przemysł i usługi'!C32</f>
        <v>2296.1835527759999</v>
      </c>
      <c r="D72" s="253">
        <f>'7. Przemysł i usługi'!D32</f>
        <v>4.5185910634692281E-2</v>
      </c>
      <c r="E72" s="252">
        <f>'7. Przemysł i usługi'!E32</f>
        <v>633.74666056617605</v>
      </c>
      <c r="F72" s="253">
        <f>'7. Przemysł i usługi'!F32</f>
        <v>2.1993904344486542E-2</v>
      </c>
      <c r="G72" s="254">
        <f t="shared" si="47"/>
        <v>9.0338175759836492E-3</v>
      </c>
      <c r="H72" s="252">
        <f t="shared" si="44"/>
        <v>2316.9268561127524</v>
      </c>
      <c r="I72" s="253">
        <f t="shared" si="41"/>
        <v>4.5106778925007876E-2</v>
      </c>
      <c r="J72" s="255">
        <f>'1.Metodologia'!D22</f>
        <v>0.27600000000000002</v>
      </c>
      <c r="K72" s="252">
        <f t="shared" si="45"/>
        <v>639.47181228711975</v>
      </c>
      <c r="L72" s="253">
        <f t="shared" si="46"/>
        <v>2.1937435600276795E-2</v>
      </c>
      <c r="M72" s="254">
        <f t="shared" si="42"/>
        <v>9.0338175759836492E-3</v>
      </c>
      <c r="N72" s="254">
        <f t="shared" si="43"/>
        <v>9.0338175759836492E-3</v>
      </c>
    </row>
    <row r="73" spans="1:14" s="189" customFormat="1">
      <c r="B73" s="256" t="str">
        <f>'7. Przemysł i usługi'!B33</f>
        <v>gaz płynny</v>
      </c>
      <c r="C73" s="252">
        <f>'7. Przemysł i usługi'!C33</f>
        <v>2123.8360086673333</v>
      </c>
      <c r="D73" s="253">
        <f>'7. Przemysł i usługi'!D33</f>
        <v>4.1794334766644674E-2</v>
      </c>
      <c r="E73" s="252">
        <f>'7. Przemysł i usługi'!E33</f>
        <v>477.86310195015</v>
      </c>
      <c r="F73" s="253">
        <f>'7. Przemysł i usługi'!F33</f>
        <v>1.6584032718471035E-2</v>
      </c>
      <c r="G73" s="254">
        <f t="shared" si="47"/>
        <v>9.0338175759836492E-3</v>
      </c>
      <c r="H73" s="252">
        <f t="shared" si="44"/>
        <v>2143.0223557309391</v>
      </c>
      <c r="I73" s="253">
        <f t="shared" si="41"/>
        <v>4.1721142545468812E-2</v>
      </c>
      <c r="J73" s="255">
        <f>'1.Metodologia'!D20</f>
        <v>0.22500000000000001</v>
      </c>
      <c r="K73" s="252">
        <f t="shared" si="45"/>
        <v>482.18003003946131</v>
      </c>
      <c r="L73" s="253">
        <f t="shared" si="46"/>
        <v>1.6541453670800482E-2</v>
      </c>
      <c r="M73" s="254">
        <f t="shared" si="42"/>
        <v>9.0338175759836492E-3</v>
      </c>
      <c r="N73" s="254">
        <f t="shared" si="43"/>
        <v>9.0338175759836492E-3</v>
      </c>
    </row>
    <row r="74" spans="1:14" s="189" customFormat="1">
      <c r="B74" s="95" t="str">
        <f>'7. Przemysł i usługi'!B34</f>
        <v>RAZEM</v>
      </c>
      <c r="C74" s="93">
        <f>'7. Przemysł i usługi'!C34</f>
        <v>50816.361129459336</v>
      </c>
      <c r="D74" s="97">
        <f>'7. Przemysł i usługi'!D34</f>
        <v>1</v>
      </c>
      <c r="E74" s="93">
        <f>'7. Przemysł i usługi'!E34</f>
        <v>28814.65021580147</v>
      </c>
      <c r="F74" s="97">
        <f>'7. Przemysł i usługi'!F34</f>
        <v>1</v>
      </c>
      <c r="G74" s="213" t="s">
        <v>18</v>
      </c>
      <c r="H74" s="96">
        <f>SUM(H67:H73)</f>
        <v>51365.380355905072</v>
      </c>
      <c r="I74" s="97">
        <f>SUM(I67:I73)</f>
        <v>1.0000000000000002</v>
      </c>
      <c r="J74" s="214" t="s">
        <v>18</v>
      </c>
      <c r="K74" s="96">
        <f>SUM(K67:K73)</f>
        <v>29149.797813152381</v>
      </c>
      <c r="L74" s="97">
        <f>SUM(L67:L73)</f>
        <v>1</v>
      </c>
      <c r="M74" s="212">
        <f t="shared" si="42"/>
        <v>1.080398545356398E-2</v>
      </c>
      <c r="N74" s="212">
        <f t="shared" si="43"/>
        <v>1.163115272407933E-2</v>
      </c>
    </row>
    <row r="77" spans="1:14">
      <c r="A77" s="7" t="s">
        <v>61</v>
      </c>
    </row>
    <row r="79" spans="1:14" ht="12" customHeight="1">
      <c r="B79" s="596" t="s">
        <v>102</v>
      </c>
      <c r="C79" s="600">
        <v>2014</v>
      </c>
      <c r="D79" s="600"/>
      <c r="E79" s="600"/>
      <c r="F79" s="600"/>
      <c r="G79" s="598">
        <v>2020</v>
      </c>
      <c r="H79" s="599"/>
      <c r="I79" s="599"/>
      <c r="J79" s="599"/>
      <c r="K79" s="600" t="s">
        <v>103</v>
      </c>
      <c r="L79" s="600"/>
    </row>
    <row r="80" spans="1:14" ht="36">
      <c r="B80" s="597"/>
      <c r="C80" s="270" t="s">
        <v>60</v>
      </c>
      <c r="D80" s="270" t="s">
        <v>62</v>
      </c>
      <c r="E80" s="270" t="s">
        <v>36</v>
      </c>
      <c r="F80" s="270" t="s">
        <v>62</v>
      </c>
      <c r="G80" s="270" t="s">
        <v>60</v>
      </c>
      <c r="H80" s="270" t="s">
        <v>62</v>
      </c>
      <c r="I80" s="270" t="s">
        <v>36</v>
      </c>
      <c r="J80" s="270" t="s">
        <v>62</v>
      </c>
      <c r="K80" s="270" t="s">
        <v>60</v>
      </c>
      <c r="L80" s="270" t="s">
        <v>36</v>
      </c>
    </row>
    <row r="81" spans="2:12">
      <c r="B81" s="154" t="s">
        <v>48</v>
      </c>
      <c r="C81" s="156">
        <f>C16</f>
        <v>2763.1215139166666</v>
      </c>
      <c r="D81" s="47">
        <f>C81/$C$87</f>
        <v>1.0750555085610906E-2</v>
      </c>
      <c r="E81" s="156">
        <f>E16</f>
        <v>783.89810850766673</v>
      </c>
      <c r="F81" s="47">
        <f>E81/$E$87</f>
        <v>9.2666183030854082E-3</v>
      </c>
      <c r="G81" s="156">
        <f>H16</f>
        <v>2781.4870315160397</v>
      </c>
      <c r="H81" s="47">
        <f t="shared" ref="H81:H86" si="48">G81/$G$87</f>
        <v>1.0570451340219935E-2</v>
      </c>
      <c r="I81" s="156">
        <f>K16</f>
        <v>790.06534959594046</v>
      </c>
      <c r="J81" s="47">
        <f t="shared" ref="J81:J86" si="49">I81/$I$87</f>
        <v>9.148575560214256E-3</v>
      </c>
      <c r="K81" s="157">
        <f>G81/C81-1</f>
        <v>6.6466557865347831E-3</v>
      </c>
      <c r="L81" s="157">
        <f>I81/E81-1</f>
        <v>7.8674014152355642E-3</v>
      </c>
    </row>
    <row r="82" spans="2:12">
      <c r="B82" s="154" t="s">
        <v>49</v>
      </c>
      <c r="C82" s="156">
        <f>C33</f>
        <v>43463.95755087502</v>
      </c>
      <c r="D82" s="47">
        <f t="shared" ref="D82:D85" si="50">C82/$C$87</f>
        <v>0.1691064499103416</v>
      </c>
      <c r="E82" s="156">
        <f>E33</f>
        <v>13388.086635297033</v>
      </c>
      <c r="F82" s="47">
        <f t="shared" ref="F82:F86" si="51">E82/$E$87</f>
        <v>0.15826328359704578</v>
      </c>
      <c r="G82" s="156">
        <f>H33</f>
        <v>44196.492660640695</v>
      </c>
      <c r="H82" s="47">
        <f t="shared" si="48"/>
        <v>0.16795939358489723</v>
      </c>
      <c r="I82" s="156">
        <f>K33</f>
        <v>13584.226282910175</v>
      </c>
      <c r="J82" s="47">
        <f t="shared" si="49"/>
        <v>0.15729878628370458</v>
      </c>
      <c r="K82" s="157">
        <f t="shared" ref="K82:K86" si="52">G82/C82-1</f>
        <v>1.6853852042999939E-2</v>
      </c>
      <c r="L82" s="157">
        <f t="shared" ref="L82:L86" si="53">I82/E82-1</f>
        <v>1.4650312098819951E-2</v>
      </c>
    </row>
    <row r="83" spans="2:12">
      <c r="B83" s="154" t="s">
        <v>152</v>
      </c>
      <c r="C83" s="156">
        <f>C43</f>
        <v>158877.99872184644</v>
      </c>
      <c r="D83" s="47">
        <f t="shared" si="50"/>
        <v>0.61815112674134165</v>
      </c>
      <c r="E83" s="156">
        <f>E43</f>
        <v>40692.053236959648</v>
      </c>
      <c r="F83" s="47">
        <f t="shared" si="51"/>
        <v>0.48102900265136711</v>
      </c>
      <c r="G83" s="156">
        <f>H43</f>
        <v>163704.31662048187</v>
      </c>
      <c r="H83" s="47">
        <f t="shared" si="48"/>
        <v>0.6221235236454068</v>
      </c>
      <c r="I83" s="156">
        <f>K43</f>
        <v>41928.17646641696</v>
      </c>
      <c r="J83" s="47">
        <f t="shared" si="49"/>
        <v>0.48550805411373493</v>
      </c>
      <c r="K83" s="157">
        <f t="shared" si="52"/>
        <v>3.0377509393764823E-2</v>
      </c>
      <c r="L83" s="157">
        <f t="shared" si="53"/>
        <v>3.0377509393764601E-2</v>
      </c>
    </row>
    <row r="84" spans="2:12">
      <c r="B84" s="154" t="s">
        <v>100</v>
      </c>
      <c r="C84" s="156">
        <f>C49</f>
        <v>596.54</v>
      </c>
      <c r="D84" s="47">
        <f t="shared" si="50"/>
        <v>2.3209750633369159E-3</v>
      </c>
      <c r="E84" s="156">
        <f>E49</f>
        <v>496.32127999999994</v>
      </c>
      <c r="F84" s="47">
        <f t="shared" si="51"/>
        <v>5.867114370532756E-3</v>
      </c>
      <c r="G84" s="156">
        <f>H49</f>
        <v>596.54</v>
      </c>
      <c r="H84" s="47">
        <f t="shared" si="48"/>
        <v>2.2670237074799166E-3</v>
      </c>
      <c r="I84" s="156">
        <f>K49</f>
        <v>496.32127999999994</v>
      </c>
      <c r="J84" s="47">
        <f t="shared" si="49"/>
        <v>5.7471609589566887E-3</v>
      </c>
      <c r="K84" s="157">
        <f t="shared" si="52"/>
        <v>0</v>
      </c>
      <c r="L84" s="157">
        <f t="shared" si="53"/>
        <v>0</v>
      </c>
    </row>
    <row r="85" spans="2:12">
      <c r="B85" s="154" t="s">
        <v>101</v>
      </c>
      <c r="C85" s="156">
        <f>C56</f>
        <v>503.30900000000003</v>
      </c>
      <c r="D85" s="47">
        <f t="shared" si="50"/>
        <v>1.9582385726909174E-3</v>
      </c>
      <c r="E85" s="156">
        <f>E56</f>
        <v>418.75308799999999</v>
      </c>
      <c r="F85" s="47">
        <f t="shared" si="51"/>
        <v>4.9501650630611044E-3</v>
      </c>
      <c r="G85" s="156">
        <f>H56</f>
        <v>493.746129</v>
      </c>
      <c r="H85" s="47">
        <f t="shared" si="48"/>
        <v>1.8763774095943897E-3</v>
      </c>
      <c r="I85" s="156">
        <f>K56</f>
        <v>410.79677932799996</v>
      </c>
      <c r="J85" s="47">
        <f t="shared" si="49"/>
        <v>4.7568285047520581E-3</v>
      </c>
      <c r="K85" s="157">
        <f t="shared" si="52"/>
        <v>-1.9000000000000017E-2</v>
      </c>
      <c r="L85" s="157">
        <f t="shared" si="53"/>
        <v>-1.9000000000000128E-2</v>
      </c>
    </row>
    <row r="86" spans="2:12">
      <c r="B86" s="154" t="s">
        <v>91</v>
      </c>
      <c r="C86" s="156">
        <f>C74</f>
        <v>50816.361129459336</v>
      </c>
      <c r="D86" s="47">
        <f>C86/$C$87</f>
        <v>0.19771265462667795</v>
      </c>
      <c r="E86" s="156">
        <f>E74</f>
        <v>28814.65021580147</v>
      </c>
      <c r="F86" s="47">
        <f t="shared" si="51"/>
        <v>0.34062381601490793</v>
      </c>
      <c r="G86" s="156">
        <f>H74</f>
        <v>51365.380355905072</v>
      </c>
      <c r="H86" s="47">
        <f t="shared" si="48"/>
        <v>0.19520323031240153</v>
      </c>
      <c r="I86" s="156">
        <f>K74</f>
        <v>29149.797813152381</v>
      </c>
      <c r="J86" s="47">
        <f t="shared" si="49"/>
        <v>0.3375405945786375</v>
      </c>
      <c r="K86" s="157">
        <f t="shared" si="52"/>
        <v>1.080398545356398E-2</v>
      </c>
      <c r="L86" s="157">
        <f t="shared" si="53"/>
        <v>1.163115272407933E-2</v>
      </c>
    </row>
    <row r="87" spans="2:12">
      <c r="B87" s="95" t="s">
        <v>50</v>
      </c>
      <c r="C87" s="96">
        <f t="shared" ref="C87:J87" si="54">SUM(C81:C86)</f>
        <v>257021.28791609747</v>
      </c>
      <c r="D87" s="97">
        <f t="shared" si="54"/>
        <v>1</v>
      </c>
      <c r="E87" s="96">
        <f t="shared" si="54"/>
        <v>84593.762564565812</v>
      </c>
      <c r="F87" s="97">
        <f t="shared" si="54"/>
        <v>1.0000000000000002</v>
      </c>
      <c r="G87" s="96">
        <f t="shared" si="54"/>
        <v>263137.96279754373</v>
      </c>
      <c r="H87" s="97">
        <f t="shared" si="54"/>
        <v>0.99999999999999967</v>
      </c>
      <c r="I87" s="96">
        <f t="shared" si="54"/>
        <v>86359.383971403455</v>
      </c>
      <c r="J87" s="97">
        <f t="shared" si="54"/>
        <v>0.99999999999999989</v>
      </c>
      <c r="K87" s="212">
        <f>G87/C87-1</f>
        <v>2.3798320096516612E-2</v>
      </c>
      <c r="L87" s="212">
        <f>I87/E87-1</f>
        <v>2.0871768240477984E-2</v>
      </c>
    </row>
    <row r="108" spans="2:12" ht="15" customHeight="1">
      <c r="B108" s="596" t="s">
        <v>59</v>
      </c>
      <c r="C108" s="600">
        <v>2014</v>
      </c>
      <c r="D108" s="600"/>
      <c r="E108" s="600"/>
      <c r="F108" s="600"/>
      <c r="G108" s="598">
        <v>2020</v>
      </c>
      <c r="H108" s="599"/>
      <c r="I108" s="599"/>
      <c r="J108" s="599"/>
      <c r="K108" s="600" t="s">
        <v>103</v>
      </c>
      <c r="L108" s="600"/>
    </row>
    <row r="109" spans="2:12" ht="36">
      <c r="B109" s="597"/>
      <c r="C109" s="270" t="s">
        <v>60</v>
      </c>
      <c r="D109" s="270" t="s">
        <v>62</v>
      </c>
      <c r="E109" s="270" t="s">
        <v>36</v>
      </c>
      <c r="F109" s="270" t="s">
        <v>62</v>
      </c>
      <c r="G109" s="270" t="s">
        <v>60</v>
      </c>
      <c r="H109" s="270" t="s">
        <v>62</v>
      </c>
      <c r="I109" s="270" t="s">
        <v>36</v>
      </c>
      <c r="J109" s="270" t="s">
        <v>62</v>
      </c>
      <c r="K109" s="270" t="s">
        <v>60</v>
      </c>
      <c r="L109" s="270" t="s">
        <v>36</v>
      </c>
    </row>
    <row r="110" spans="2:12">
      <c r="B110" s="2" t="s">
        <v>4</v>
      </c>
      <c r="C110" s="156">
        <f>C9+C26+C48+C55+C67</f>
        <v>40358.586000000003</v>
      </c>
      <c r="D110" s="157">
        <f>C110/$C$120</f>
        <v>0.15702429291839334</v>
      </c>
      <c r="E110" s="156">
        <f>E9+E26+E48+E55+E67</f>
        <v>33578.343551999998</v>
      </c>
      <c r="F110" s="157">
        <f>E110/$E$120</f>
        <v>0.39693639973008016</v>
      </c>
      <c r="G110" s="156">
        <f>H9+H26+H48+H55+H67</f>
        <v>40822.489788047547</v>
      </c>
      <c r="H110" s="157">
        <f>G110/$G$120</f>
        <v>0.15513721149941431</v>
      </c>
      <c r="I110" s="156">
        <f>K9+K26+K48+K55+K67</f>
        <v>33964.311503655554</v>
      </c>
      <c r="J110" s="157">
        <f>I110/$I$120</f>
        <v>0.39329034022408388</v>
      </c>
      <c r="K110" s="157">
        <f>G110/C110-1</f>
        <v>1.149455008278899E-2</v>
      </c>
      <c r="L110" s="157">
        <f t="shared" ref="L110:L115" si="55">I110/E110-1</f>
        <v>1.149455008278899E-2</v>
      </c>
    </row>
    <row r="111" spans="2:12">
      <c r="B111" s="2" t="s">
        <v>9</v>
      </c>
      <c r="C111" s="156">
        <f>C10+C27+C68</f>
        <v>2935.8333333333335</v>
      </c>
      <c r="D111" s="157">
        <f t="shared" ref="D111:D119" si="56">C111/$C$120</f>
        <v>1.1422529850102192E-2</v>
      </c>
      <c r="E111" s="156">
        <f>E10+E27+E68</f>
        <v>32.294166666666662</v>
      </c>
      <c r="F111" s="157">
        <f t="shared" ref="F111:F119" si="57">E111/$E$120</f>
        <v>3.8175588468497632E-4</v>
      </c>
      <c r="G111" s="156">
        <f>H10+H27+H68</f>
        <v>2977.0991826560189</v>
      </c>
      <c r="H111" s="157">
        <f t="shared" ref="H111:H119" si="58">G111/$G$120</f>
        <v>1.1313833819358767E-2</v>
      </c>
      <c r="I111" s="156">
        <f>K10+K27+K68</f>
        <v>32.748091009216203</v>
      </c>
      <c r="J111" s="157">
        <f t="shared" ref="J111:J119" si="59">I111/$I$120</f>
        <v>3.7920709369650233E-4</v>
      </c>
      <c r="K111" s="157">
        <f t="shared" ref="K111:K119" si="60">G111/C111-1</f>
        <v>1.4055923697763983E-2</v>
      </c>
      <c r="L111" s="157">
        <f t="shared" si="55"/>
        <v>1.4055923697763983E-2</v>
      </c>
    </row>
    <row r="112" spans="2:12">
      <c r="B112" s="2" t="s">
        <v>55</v>
      </c>
      <c r="C112" s="156">
        <f>C11+C29+C70</f>
        <v>21645.766278320887</v>
      </c>
      <c r="D112" s="157">
        <f t="shared" si="56"/>
        <v>8.4217795552355076E-2</v>
      </c>
      <c r="E112" s="156">
        <f>E11+E29+E70</f>
        <v>7381.2063009074236</v>
      </c>
      <c r="F112" s="157">
        <f t="shared" si="57"/>
        <v>8.725473459433547E-2</v>
      </c>
      <c r="G112" s="156">
        <f>H11+H29+H70</f>
        <v>21954.645539643701</v>
      </c>
      <c r="H112" s="157">
        <f t="shared" si="58"/>
        <v>8.3433972453968705E-2</v>
      </c>
      <c r="I112" s="156">
        <f>K11+K29+K70</f>
        <v>7486.5341290185024</v>
      </c>
      <c r="J112" s="157">
        <f t="shared" si="59"/>
        <v>8.669045313590415E-2</v>
      </c>
      <c r="K112" s="157">
        <f t="shared" si="60"/>
        <v>1.426973096499573E-2</v>
      </c>
      <c r="L112" s="157">
        <f t="shared" si="55"/>
        <v>1.4269730964995508E-2</v>
      </c>
    </row>
    <row r="113" spans="2:12">
      <c r="B113" s="2" t="s">
        <v>10</v>
      </c>
      <c r="C113" s="156">
        <f>C14+C28+C69</f>
        <v>958.75527229866657</v>
      </c>
      <c r="D113" s="157">
        <f t="shared" si="56"/>
        <v>3.7302562759379079E-3</v>
      </c>
      <c r="E113" s="156">
        <f>E14+E28+E69</f>
        <v>192.70980973203197</v>
      </c>
      <c r="F113" s="157">
        <f t="shared" si="57"/>
        <v>2.2780616902451528E-3</v>
      </c>
      <c r="G113" s="156">
        <f>H14+H28+H69</f>
        <v>968.56591754354417</v>
      </c>
      <c r="H113" s="157">
        <f t="shared" si="58"/>
        <v>3.6808292777152467E-3</v>
      </c>
      <c r="I113" s="156">
        <f>K14+K28+K69</f>
        <v>194.68174942625237</v>
      </c>
      <c r="J113" s="157">
        <f t="shared" si="59"/>
        <v>2.2543207289519133E-3</v>
      </c>
      <c r="K113" s="157">
        <f t="shared" si="60"/>
        <v>1.0232689747150969E-2</v>
      </c>
      <c r="L113" s="157">
        <f t="shared" si="55"/>
        <v>1.0232689747150969E-2</v>
      </c>
    </row>
    <row r="114" spans="2:12">
      <c r="B114" s="2" t="s">
        <v>56</v>
      </c>
      <c r="C114" s="156">
        <f>C15+C32+C73</f>
        <v>4070.2221718801329</v>
      </c>
      <c r="D114" s="157">
        <f t="shared" si="56"/>
        <v>1.583612861362995E-2</v>
      </c>
      <c r="E114" s="156">
        <f>E15+E32+E73</f>
        <v>915.79998867302993</v>
      </c>
      <c r="F114" s="157">
        <f t="shared" si="57"/>
        <v>1.0825857142529266E-2</v>
      </c>
      <c r="G114" s="156">
        <f>H15+H32+H73</f>
        <v>4124.7339583077828</v>
      </c>
      <c r="H114" s="157">
        <f t="shared" si="58"/>
        <v>1.5675176300887158E-2</v>
      </c>
      <c r="I114" s="156">
        <f>K15+K32+K73</f>
        <v>928.06514061925122</v>
      </c>
      <c r="J114" s="157">
        <f t="shared" si="59"/>
        <v>1.0746546558583205E-2</v>
      </c>
      <c r="K114" s="157">
        <f t="shared" si="60"/>
        <v>1.3392828235336829E-2</v>
      </c>
      <c r="L114" s="157">
        <f t="shared" si="55"/>
        <v>1.3392828235336829E-2</v>
      </c>
    </row>
    <row r="115" spans="2:12">
      <c r="B115" s="2" t="s">
        <v>16</v>
      </c>
      <c r="C115" s="156">
        <f>C12+C31+C72</f>
        <v>6526.6503971993334</v>
      </c>
      <c r="D115" s="157">
        <f t="shared" si="56"/>
        <v>2.5393423440201211E-2</v>
      </c>
      <c r="E115" s="156">
        <f>E12+E31+E72</f>
        <v>1801.3555096270161</v>
      </c>
      <c r="F115" s="157">
        <f t="shared" si="57"/>
        <v>2.1294188306757712E-2</v>
      </c>
      <c r="G115" s="156">
        <f>H12+H31+H72</f>
        <v>6611.8365625279657</v>
      </c>
      <c r="H115" s="157">
        <f t="shared" si="58"/>
        <v>2.5126882082062259E-2</v>
      </c>
      <c r="I115" s="156">
        <f>K12+K31+K72</f>
        <v>1824.8668912577186</v>
      </c>
      <c r="J115" s="157">
        <f t="shared" si="59"/>
        <v>2.1131078145045532E-2</v>
      </c>
      <c r="K115" s="157">
        <f t="shared" si="60"/>
        <v>1.3052049695382317E-2</v>
      </c>
      <c r="L115" s="157">
        <f t="shared" si="55"/>
        <v>1.3052049695382317E-2</v>
      </c>
    </row>
    <row r="116" spans="2:12">
      <c r="B116" s="2" t="s">
        <v>84</v>
      </c>
      <c r="C116" s="156">
        <f>C13+C30+C71</f>
        <v>21647.475741218663</v>
      </c>
      <c r="D116" s="157">
        <f t="shared" si="56"/>
        <v>8.4224446608038586E-2</v>
      </c>
      <c r="E116" s="156">
        <f>E13+E30+E71</f>
        <v>0</v>
      </c>
      <c r="F116" s="157">
        <f t="shared" si="57"/>
        <v>0</v>
      </c>
      <c r="G116" s="156">
        <f>H13+H30+H71</f>
        <v>21974.27522833526</v>
      </c>
      <c r="H116" s="157">
        <f t="shared" si="58"/>
        <v>8.3508570921186687E-2</v>
      </c>
      <c r="I116" s="156">
        <f>K13+K30+K71</f>
        <v>0</v>
      </c>
      <c r="J116" s="157">
        <f t="shared" si="59"/>
        <v>0</v>
      </c>
      <c r="K116" s="157">
        <f t="shared" si="60"/>
        <v>1.5096424683564535E-2</v>
      </c>
      <c r="L116" s="315" t="s">
        <v>18</v>
      </c>
    </row>
    <row r="117" spans="2:12">
      <c r="B117" s="2" t="s">
        <v>20</v>
      </c>
      <c r="C117" s="156">
        <f>C40</f>
        <v>107569.52346560209</v>
      </c>
      <c r="D117" s="157">
        <f t="shared" si="56"/>
        <v>0.41852378975206633</v>
      </c>
      <c r="E117" s="156">
        <f>E40</f>
        <v>28398.354194918953</v>
      </c>
      <c r="F117" s="157">
        <f t="shared" si="57"/>
        <v>0.33570269643987083</v>
      </c>
      <c r="G117" s="156">
        <f>H40</f>
        <v>110837.2176751612</v>
      </c>
      <c r="H117" s="157">
        <f t="shared" si="58"/>
        <v>0.42121333044004183</v>
      </c>
      <c r="I117" s="156">
        <f>K40</f>
        <v>29261.025466242558</v>
      </c>
      <c r="J117" s="157">
        <f t="shared" si="59"/>
        <v>0.33882855713667304</v>
      </c>
      <c r="K117" s="157">
        <f t="shared" si="60"/>
        <v>3.0377509393764601E-2</v>
      </c>
      <c r="L117" s="157">
        <f>I117/E117-1</f>
        <v>3.0377509393764601E-2</v>
      </c>
    </row>
    <row r="118" spans="2:12">
      <c r="B118" s="2" t="s">
        <v>78</v>
      </c>
      <c r="C118" s="156">
        <f t="shared" ref="C118:E119" si="61">C41</f>
        <v>34058.732244805513</v>
      </c>
      <c r="D118" s="157">
        <f t="shared" si="56"/>
        <v>0.13251327359282283</v>
      </c>
      <c r="E118" s="156">
        <f t="shared" si="61"/>
        <v>8412.5068644669609</v>
      </c>
      <c r="F118" s="157">
        <f t="shared" si="57"/>
        <v>9.9445947424860667E-2</v>
      </c>
      <c r="G118" s="156">
        <f t="shared" ref="G118:G119" si="62">H41</f>
        <v>35093.351703511806</v>
      </c>
      <c r="H118" s="157">
        <f t="shared" si="58"/>
        <v>0.13336483770877394</v>
      </c>
      <c r="I118" s="156">
        <f t="shared" ref="I118:I119" si="63">K41</f>
        <v>8668.0578707674158</v>
      </c>
      <c r="J118" s="157">
        <f t="shared" si="59"/>
        <v>0.1003719280077045</v>
      </c>
      <c r="K118" s="157">
        <f t="shared" si="60"/>
        <v>3.0377509393764601E-2</v>
      </c>
      <c r="L118" s="157">
        <f>I118/E118-1</f>
        <v>3.0377509393764601E-2</v>
      </c>
    </row>
    <row r="119" spans="2:12">
      <c r="B119" s="2" t="s">
        <v>79</v>
      </c>
      <c r="C119" s="156">
        <f t="shared" si="61"/>
        <v>17249.743011438837</v>
      </c>
      <c r="D119" s="157">
        <f t="shared" si="56"/>
        <v>6.7114063396452497E-2</v>
      </c>
      <c r="E119" s="156">
        <f t="shared" si="61"/>
        <v>3881.1921775737383</v>
      </c>
      <c r="F119" s="157">
        <f t="shared" si="57"/>
        <v>4.5880358786635531E-2</v>
      </c>
      <c r="G119" s="156">
        <f t="shared" si="62"/>
        <v>17773.747241808847</v>
      </c>
      <c r="H119" s="157">
        <f t="shared" si="58"/>
        <v>6.7545355496591089E-2</v>
      </c>
      <c r="I119" s="156">
        <f t="shared" si="63"/>
        <v>3999.0931294069906</v>
      </c>
      <c r="J119" s="157">
        <f t="shared" si="59"/>
        <v>4.630756896935749E-2</v>
      </c>
      <c r="K119" s="157">
        <f t="shared" si="60"/>
        <v>3.0377509393764601E-2</v>
      </c>
      <c r="L119" s="157">
        <f>I119/E119-1</f>
        <v>3.0377509393764601E-2</v>
      </c>
    </row>
    <row r="120" spans="2:12">
      <c r="B120" s="95" t="s">
        <v>50</v>
      </c>
      <c r="C120" s="96">
        <f t="shared" ref="C120:J120" si="64">SUM(C110:C119)</f>
        <v>257021.28791609747</v>
      </c>
      <c r="D120" s="212">
        <f t="shared" si="64"/>
        <v>1</v>
      </c>
      <c r="E120" s="96">
        <f t="shared" si="64"/>
        <v>84593.762564565841</v>
      </c>
      <c r="F120" s="212">
        <f t="shared" si="64"/>
        <v>0.99999999999999978</v>
      </c>
      <c r="G120" s="96">
        <f t="shared" si="64"/>
        <v>263137.96279754367</v>
      </c>
      <c r="H120" s="212">
        <f t="shared" si="64"/>
        <v>1</v>
      </c>
      <c r="I120" s="96">
        <f t="shared" si="64"/>
        <v>86359.38397140344</v>
      </c>
      <c r="J120" s="212">
        <f t="shared" si="64"/>
        <v>1.0000000000000002</v>
      </c>
      <c r="K120" s="212">
        <f t="shared" ref="K120" si="65">G120/C120-1</f>
        <v>2.379832009651639E-2</v>
      </c>
      <c r="L120" s="212">
        <f>I120/E120-1</f>
        <v>2.087176824047754E-2</v>
      </c>
    </row>
  </sheetData>
  <mergeCells count="41">
    <mergeCell ref="H7:L7"/>
    <mergeCell ref="C24:F24"/>
    <mergeCell ref="G24:G25"/>
    <mergeCell ref="H24:L24"/>
    <mergeCell ref="B22:D22"/>
    <mergeCell ref="C46:F46"/>
    <mergeCell ref="G46:G47"/>
    <mergeCell ref="H46:L46"/>
    <mergeCell ref="C53:F53"/>
    <mergeCell ref="G53:G54"/>
    <mergeCell ref="H53:L53"/>
    <mergeCell ref="C65:F65"/>
    <mergeCell ref="G65:G66"/>
    <mergeCell ref="H65:L65"/>
    <mergeCell ref="B61:D61"/>
    <mergeCell ref="B62:D62"/>
    <mergeCell ref="B4:D4"/>
    <mergeCell ref="B20:D20"/>
    <mergeCell ref="B5:D5"/>
    <mergeCell ref="B21:D21"/>
    <mergeCell ref="G38:G39"/>
    <mergeCell ref="C7:F7"/>
    <mergeCell ref="G7:G8"/>
    <mergeCell ref="B36:D36"/>
    <mergeCell ref="C38:F38"/>
    <mergeCell ref="M65:N65"/>
    <mergeCell ref="B108:B109"/>
    <mergeCell ref="B79:B80"/>
    <mergeCell ref="M7:N7"/>
    <mergeCell ref="M24:N24"/>
    <mergeCell ref="M38:N38"/>
    <mergeCell ref="M46:N46"/>
    <mergeCell ref="M53:N53"/>
    <mergeCell ref="G79:J79"/>
    <mergeCell ref="K79:L79"/>
    <mergeCell ref="B63:D63"/>
    <mergeCell ref="C108:F108"/>
    <mergeCell ref="G108:J108"/>
    <mergeCell ref="K108:L108"/>
    <mergeCell ref="C79:F79"/>
    <mergeCell ref="H38:L3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2:X72"/>
  <sheetViews>
    <sheetView topLeftCell="A13" zoomScale="90" zoomScaleNormal="90" workbookViewId="0">
      <selection activeCell="F60" sqref="F60:G60"/>
    </sheetView>
  </sheetViews>
  <sheetFormatPr defaultRowHeight="15"/>
  <cols>
    <col min="1" max="1" width="3.42578125" style="321" bestFit="1" customWidth="1"/>
    <col min="2" max="2" width="39.140625" style="321" customWidth="1"/>
    <col min="3" max="3" width="19.5703125" style="321" customWidth="1"/>
    <col min="4" max="4" width="14.140625" style="321" bestFit="1" customWidth="1"/>
    <col min="5" max="5" width="15.7109375" style="321" bestFit="1" customWidth="1"/>
    <col min="6" max="6" width="15.5703125" style="321" bestFit="1" customWidth="1"/>
    <col min="7" max="7" width="10.42578125" style="322" bestFit="1" customWidth="1"/>
    <col min="8" max="8" width="11.42578125" style="321" bestFit="1" customWidth="1"/>
    <col min="9" max="10" width="10.42578125" style="322" bestFit="1" customWidth="1"/>
    <col min="11" max="11" width="10.42578125" style="321" bestFit="1" customWidth="1"/>
    <col min="12" max="12" width="9.85546875" style="321" bestFit="1" customWidth="1"/>
    <col min="13" max="16384" width="9.140625" style="321"/>
  </cols>
  <sheetData>
    <row r="2" spans="1:24" ht="6" customHeight="1"/>
    <row r="3" spans="1:24" ht="24.75" customHeight="1">
      <c r="A3" s="619" t="s">
        <v>215</v>
      </c>
      <c r="B3" s="619"/>
      <c r="C3" s="619"/>
      <c r="D3" s="619"/>
      <c r="E3" s="619"/>
    </row>
    <row r="4" spans="1:24" s="323" customFormat="1">
      <c r="A4" s="626"/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28"/>
    </row>
    <row r="5" spans="1:24" s="322" customFormat="1" ht="12.75">
      <c r="A5" s="620" t="s">
        <v>217</v>
      </c>
      <c r="B5" s="622" t="s">
        <v>295</v>
      </c>
      <c r="C5" s="623" t="s">
        <v>218</v>
      </c>
      <c r="D5" s="623" t="s">
        <v>219</v>
      </c>
      <c r="E5" s="625" t="s">
        <v>220</v>
      </c>
      <c r="F5" s="625"/>
      <c r="G5" s="629" t="s">
        <v>221</v>
      </c>
      <c r="H5" s="630"/>
      <c r="I5" s="631" t="s">
        <v>222</v>
      </c>
      <c r="J5" s="632"/>
      <c r="K5" s="633" t="s">
        <v>223</v>
      </c>
      <c r="L5" s="634"/>
      <c r="M5" s="635" t="s">
        <v>224</v>
      </c>
      <c r="N5" s="636"/>
      <c r="O5" s="636"/>
      <c r="P5" s="636"/>
      <c r="Q5" s="636"/>
      <c r="R5" s="636"/>
      <c r="S5" s="636"/>
      <c r="T5" s="636"/>
      <c r="U5" s="636"/>
      <c r="V5" s="636"/>
      <c r="W5" s="636"/>
      <c r="X5" s="636"/>
    </row>
    <row r="6" spans="1:24" s="322" customFormat="1" ht="12.75">
      <c r="A6" s="621"/>
      <c r="B6" s="622"/>
      <c r="C6" s="624"/>
      <c r="D6" s="624"/>
      <c r="E6" s="324" t="s">
        <v>225</v>
      </c>
      <c r="F6" s="325" t="s">
        <v>226</v>
      </c>
      <c r="G6" s="326" t="s">
        <v>227</v>
      </c>
      <c r="H6" s="326" t="s">
        <v>228</v>
      </c>
      <c r="I6" s="327" t="s">
        <v>227</v>
      </c>
      <c r="J6" s="327" t="s">
        <v>228</v>
      </c>
      <c r="K6" s="328" t="s">
        <v>227</v>
      </c>
      <c r="L6" s="328" t="s">
        <v>228</v>
      </c>
      <c r="M6" s="637"/>
      <c r="N6" s="638"/>
      <c r="O6" s="638"/>
      <c r="P6" s="638"/>
      <c r="Q6" s="638"/>
      <c r="R6" s="638"/>
      <c r="S6" s="638"/>
      <c r="T6" s="638"/>
      <c r="U6" s="638"/>
      <c r="V6" s="638"/>
      <c r="W6" s="638"/>
      <c r="X6" s="638"/>
    </row>
    <row r="7" spans="1:24" s="323" customFormat="1" ht="30">
      <c r="A7" s="412">
        <v>1</v>
      </c>
      <c r="B7" s="408" t="s">
        <v>281</v>
      </c>
      <c r="C7" s="428" t="s">
        <v>305</v>
      </c>
      <c r="D7" s="411">
        <v>2017</v>
      </c>
      <c r="E7" s="417">
        <v>822945.39</v>
      </c>
      <c r="F7" s="608">
        <v>1581232</v>
      </c>
      <c r="G7" s="334">
        <v>70</v>
      </c>
      <c r="H7" s="649">
        <f>ROUND(883.86/3.6,1)</f>
        <v>245.5</v>
      </c>
      <c r="I7" s="334">
        <v>50</v>
      </c>
      <c r="J7" s="649">
        <f>ROUND(19.87,1)</f>
        <v>19.899999999999999</v>
      </c>
      <c r="K7" s="330"/>
      <c r="L7" s="612">
        <f>ROUND((49+21)/3.6*0.8,1)+11.4</f>
        <v>27</v>
      </c>
      <c r="M7" s="640" t="s">
        <v>306</v>
      </c>
      <c r="N7" s="641"/>
      <c r="O7" s="641"/>
      <c r="P7" s="641"/>
      <c r="Q7" s="641"/>
      <c r="R7" s="641"/>
      <c r="S7" s="641"/>
      <c r="T7" s="641"/>
      <c r="U7" s="641"/>
      <c r="V7" s="641"/>
      <c r="W7" s="641"/>
      <c r="X7" s="642"/>
    </row>
    <row r="8" spans="1:24" s="322" customFormat="1" ht="30">
      <c r="A8" s="413">
        <v>2</v>
      </c>
      <c r="B8" s="408" t="s">
        <v>282</v>
      </c>
      <c r="C8" s="428" t="s">
        <v>305</v>
      </c>
      <c r="D8" s="411">
        <v>2017</v>
      </c>
      <c r="E8" s="417">
        <v>621394.64</v>
      </c>
      <c r="F8" s="609"/>
      <c r="G8" s="334">
        <v>20</v>
      </c>
      <c r="H8" s="650"/>
      <c r="I8" s="334">
        <v>17</v>
      </c>
      <c r="J8" s="650"/>
      <c r="K8" s="330"/>
      <c r="L8" s="613"/>
      <c r="M8" s="643"/>
      <c r="N8" s="644"/>
      <c r="O8" s="644"/>
      <c r="P8" s="644"/>
      <c r="Q8" s="644"/>
      <c r="R8" s="644"/>
      <c r="S8" s="644"/>
      <c r="T8" s="644"/>
      <c r="U8" s="644"/>
      <c r="V8" s="644"/>
      <c r="W8" s="644"/>
      <c r="X8" s="645"/>
    </row>
    <row r="9" spans="1:24" s="322" customFormat="1" ht="17.25" customHeight="1">
      <c r="A9" s="413">
        <v>3</v>
      </c>
      <c r="B9" s="408" t="s">
        <v>283</v>
      </c>
      <c r="C9" s="428" t="s">
        <v>305</v>
      </c>
      <c r="D9" s="411">
        <v>2017</v>
      </c>
      <c r="E9" s="417">
        <v>48449</v>
      </c>
      <c r="F9" s="610"/>
      <c r="G9" s="334">
        <v>17</v>
      </c>
      <c r="H9" s="651"/>
      <c r="I9" s="334">
        <v>5</v>
      </c>
      <c r="J9" s="651"/>
      <c r="K9" s="330"/>
      <c r="L9" s="614"/>
      <c r="M9" s="646"/>
      <c r="N9" s="647"/>
      <c r="O9" s="647"/>
      <c r="P9" s="647"/>
      <c r="Q9" s="647"/>
      <c r="R9" s="647"/>
      <c r="S9" s="647"/>
      <c r="T9" s="647"/>
      <c r="U9" s="647"/>
      <c r="V9" s="647"/>
      <c r="W9" s="647"/>
      <c r="X9" s="648"/>
    </row>
    <row r="10" spans="1:24" s="323" customFormat="1" ht="45">
      <c r="A10" s="413">
        <v>4</v>
      </c>
      <c r="B10" s="408" t="s">
        <v>284</v>
      </c>
      <c r="C10" s="428" t="s">
        <v>305</v>
      </c>
      <c r="D10" s="411" t="s">
        <v>308</v>
      </c>
      <c r="E10" s="417">
        <v>1283085.8999999999</v>
      </c>
      <c r="F10" s="388">
        <f>645176.28+415534.49+767565.57+136116</f>
        <v>1964392.3399999999</v>
      </c>
      <c r="G10" s="334">
        <v>146</v>
      </c>
      <c r="H10" s="338">
        <f>146+233.9</f>
        <v>379.9</v>
      </c>
      <c r="I10" s="334">
        <v>16</v>
      </c>
      <c r="J10" s="338">
        <f>ROUND(16+91.51,1)</f>
        <v>107.5</v>
      </c>
      <c r="K10" s="330"/>
      <c r="L10" s="331"/>
      <c r="M10" s="639"/>
      <c r="N10" s="639"/>
      <c r="O10" s="639"/>
      <c r="P10" s="639"/>
      <c r="Q10" s="639"/>
      <c r="R10" s="639"/>
      <c r="S10" s="639"/>
      <c r="T10" s="639"/>
      <c r="U10" s="639"/>
      <c r="V10" s="639"/>
      <c r="W10" s="639"/>
      <c r="X10" s="639"/>
    </row>
    <row r="11" spans="1:24" s="323" customFormat="1" ht="45">
      <c r="A11" s="413">
        <v>5</v>
      </c>
      <c r="B11" s="408" t="s">
        <v>285</v>
      </c>
      <c r="C11" s="429" t="s">
        <v>309</v>
      </c>
      <c r="D11" s="430"/>
      <c r="E11" s="436">
        <v>5066949.8499999996</v>
      </c>
      <c r="F11" s="433"/>
      <c r="G11" s="409"/>
      <c r="H11" s="437"/>
      <c r="I11" s="409"/>
      <c r="J11" s="437"/>
      <c r="K11" s="330"/>
      <c r="L11" s="331"/>
      <c r="M11" s="605"/>
      <c r="N11" s="606"/>
      <c r="O11" s="606"/>
      <c r="P11" s="606"/>
      <c r="Q11" s="606"/>
      <c r="R11" s="606"/>
      <c r="S11" s="606"/>
      <c r="T11" s="606"/>
      <c r="U11" s="606"/>
      <c r="V11" s="606"/>
      <c r="W11" s="606"/>
      <c r="X11" s="607"/>
    </row>
    <row r="12" spans="1:24" s="323" customFormat="1" ht="45">
      <c r="A12" s="413">
        <v>6</v>
      </c>
      <c r="B12" s="408" t="s">
        <v>286</v>
      </c>
      <c r="C12" s="428" t="s">
        <v>305</v>
      </c>
      <c r="D12" s="411">
        <v>2017</v>
      </c>
      <c r="E12" s="435" t="s">
        <v>313</v>
      </c>
      <c r="F12" s="388">
        <v>993000</v>
      </c>
      <c r="G12" s="334">
        <v>600</v>
      </c>
      <c r="H12" s="338">
        <v>600</v>
      </c>
      <c r="I12" s="334">
        <v>154</v>
      </c>
      <c r="J12" s="338">
        <v>16</v>
      </c>
      <c r="K12" s="330"/>
      <c r="L12" s="427"/>
      <c r="M12" s="605"/>
      <c r="N12" s="606"/>
      <c r="O12" s="606"/>
      <c r="P12" s="606"/>
      <c r="Q12" s="606"/>
      <c r="R12" s="606"/>
      <c r="S12" s="606"/>
      <c r="T12" s="606"/>
      <c r="U12" s="606"/>
      <c r="V12" s="606"/>
      <c r="W12" s="606"/>
      <c r="X12" s="607"/>
    </row>
    <row r="13" spans="1:24" s="323" customFormat="1">
      <c r="A13" s="413">
        <v>7</v>
      </c>
      <c r="B13" s="408" t="s">
        <v>287</v>
      </c>
      <c r="C13" s="429" t="s">
        <v>309</v>
      </c>
      <c r="D13" s="430"/>
      <c r="E13" s="435" t="s">
        <v>313</v>
      </c>
      <c r="F13" s="431"/>
      <c r="G13" s="330">
        <v>800</v>
      </c>
      <c r="H13" s="430"/>
      <c r="I13" s="330">
        <v>600</v>
      </c>
      <c r="J13" s="465"/>
      <c r="K13" s="330"/>
      <c r="L13" s="331"/>
      <c r="M13" s="611"/>
      <c r="N13" s="611"/>
      <c r="O13" s="611"/>
      <c r="P13" s="611"/>
      <c r="Q13" s="611"/>
      <c r="R13" s="611"/>
      <c r="S13" s="611"/>
      <c r="T13" s="611"/>
      <c r="U13" s="611"/>
      <c r="V13" s="611"/>
      <c r="W13" s="611"/>
      <c r="X13" s="611"/>
    </row>
    <row r="14" spans="1:24" s="323" customFormat="1" ht="60">
      <c r="A14" s="413">
        <v>8</v>
      </c>
      <c r="B14" s="408" t="s">
        <v>288</v>
      </c>
      <c r="C14" s="428" t="s">
        <v>305</v>
      </c>
      <c r="D14" s="411" t="s">
        <v>310</v>
      </c>
      <c r="E14" s="435" t="s">
        <v>313</v>
      </c>
      <c r="F14" s="388">
        <v>1057211.99</v>
      </c>
      <c r="G14" s="334">
        <v>100</v>
      </c>
      <c r="H14" s="431"/>
      <c r="I14" s="334">
        <f>83</f>
        <v>83</v>
      </c>
      <c r="J14" s="466">
        <f>181.6</f>
        <v>181.6</v>
      </c>
      <c r="K14" s="334">
        <v>100</v>
      </c>
      <c r="L14" s="338">
        <f>ROUND(((168.56*1000)/1000)+51.9*18.5*0.9/3.6,1)</f>
        <v>408.6</v>
      </c>
      <c r="M14" s="605"/>
      <c r="N14" s="606"/>
      <c r="O14" s="606"/>
      <c r="P14" s="606"/>
      <c r="Q14" s="606"/>
      <c r="R14" s="606"/>
      <c r="S14" s="606"/>
      <c r="T14" s="606"/>
      <c r="U14" s="606"/>
      <c r="V14" s="606"/>
      <c r="W14" s="606"/>
      <c r="X14" s="607"/>
    </row>
    <row r="15" spans="1:24" s="323" customFormat="1">
      <c r="A15" s="413">
        <v>9</v>
      </c>
      <c r="B15" s="408" t="s">
        <v>289</v>
      </c>
      <c r="C15" s="429" t="s">
        <v>309</v>
      </c>
      <c r="D15" s="430"/>
      <c r="E15" s="435" t="s">
        <v>313</v>
      </c>
      <c r="F15" s="431"/>
      <c r="G15" s="409"/>
      <c r="H15" s="431"/>
      <c r="I15" s="409"/>
      <c r="J15" s="465"/>
      <c r="K15" s="334">
        <v>500</v>
      </c>
      <c r="L15" s="331"/>
      <c r="M15" s="605"/>
      <c r="N15" s="606"/>
      <c r="O15" s="606"/>
      <c r="P15" s="606"/>
      <c r="Q15" s="606"/>
      <c r="R15" s="606"/>
      <c r="S15" s="606"/>
      <c r="T15" s="606"/>
      <c r="U15" s="606"/>
      <c r="V15" s="606"/>
      <c r="W15" s="606"/>
      <c r="X15" s="607"/>
    </row>
    <row r="16" spans="1:24" s="323" customFormat="1" ht="60">
      <c r="A16" s="413">
        <v>10</v>
      </c>
      <c r="B16" s="408" t="s">
        <v>343</v>
      </c>
      <c r="C16" s="428" t="s">
        <v>312</v>
      </c>
      <c r="D16" s="411" t="s">
        <v>311</v>
      </c>
      <c r="E16" s="435" t="s">
        <v>313</v>
      </c>
      <c r="F16" s="388">
        <f>418461.12</f>
        <v>418461.12</v>
      </c>
      <c r="G16" s="334">
        <v>5000</v>
      </c>
      <c r="H16" s="432">
        <f>102.3</f>
        <v>102.3</v>
      </c>
      <c r="I16" s="334">
        <v>1500</v>
      </c>
      <c r="J16" s="432">
        <f>ROUND(102.25*C50,1)</f>
        <v>34.9</v>
      </c>
      <c r="K16" s="330"/>
      <c r="L16" s="331"/>
      <c r="M16" s="605"/>
      <c r="N16" s="606"/>
      <c r="O16" s="606"/>
      <c r="P16" s="606"/>
      <c r="Q16" s="606"/>
      <c r="R16" s="606"/>
      <c r="S16" s="606"/>
      <c r="T16" s="606"/>
      <c r="U16" s="606"/>
      <c r="V16" s="606"/>
      <c r="W16" s="606"/>
      <c r="X16" s="607"/>
    </row>
    <row r="17" spans="1:24" s="323" customFormat="1" ht="30">
      <c r="A17" s="413">
        <v>11</v>
      </c>
      <c r="B17" s="408" t="s">
        <v>290</v>
      </c>
      <c r="C17" s="429" t="s">
        <v>309</v>
      </c>
      <c r="D17" s="430"/>
      <c r="E17" s="414"/>
      <c r="F17" s="433"/>
      <c r="G17" s="330">
        <v>800</v>
      </c>
      <c r="H17" s="434"/>
      <c r="I17" s="330">
        <v>130</v>
      </c>
      <c r="J17" s="434"/>
      <c r="K17" s="330"/>
      <c r="L17" s="331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615"/>
    </row>
    <row r="18" spans="1:24" s="323" customFormat="1" ht="30">
      <c r="A18" s="413">
        <v>12</v>
      </c>
      <c r="B18" s="408" t="s">
        <v>291</v>
      </c>
      <c r="C18" s="428" t="s">
        <v>305</v>
      </c>
      <c r="D18" s="411" t="s">
        <v>311</v>
      </c>
      <c r="E18" s="435" t="s">
        <v>313</v>
      </c>
      <c r="F18" s="406"/>
      <c r="G18" s="409"/>
      <c r="H18" s="407"/>
      <c r="I18" s="409"/>
      <c r="J18" s="407"/>
      <c r="K18" s="415"/>
      <c r="L18" s="338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</row>
    <row r="19" spans="1:24" s="323" customFormat="1" ht="45">
      <c r="A19" s="413">
        <v>13</v>
      </c>
      <c r="B19" s="408" t="s">
        <v>292</v>
      </c>
      <c r="C19" s="428" t="s">
        <v>314</v>
      </c>
      <c r="D19" s="411" t="s">
        <v>311</v>
      </c>
      <c r="E19" s="435"/>
      <c r="F19" s="406"/>
      <c r="G19" s="334">
        <v>2000</v>
      </c>
      <c r="H19" s="407"/>
      <c r="I19" s="334">
        <v>800</v>
      </c>
      <c r="J19" s="407"/>
      <c r="K19" s="330"/>
      <c r="L19" s="338"/>
      <c r="M19" s="616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8"/>
    </row>
    <row r="20" spans="1:24" s="323" customFormat="1" ht="15.75">
      <c r="A20" s="413">
        <v>14</v>
      </c>
      <c r="B20" s="408" t="s">
        <v>293</v>
      </c>
      <c r="C20" s="428" t="s">
        <v>314</v>
      </c>
      <c r="D20" s="411" t="s">
        <v>311</v>
      </c>
      <c r="E20" s="414"/>
      <c r="F20" s="406"/>
      <c r="G20" s="334">
        <v>50</v>
      </c>
      <c r="H20" s="407"/>
      <c r="I20" s="334">
        <v>30</v>
      </c>
      <c r="J20" s="407"/>
      <c r="K20" s="330"/>
      <c r="L20" s="338"/>
      <c r="M20" s="616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8"/>
    </row>
    <row r="21" spans="1:24" s="323" customFormat="1" ht="3" customHeight="1">
      <c r="C21" s="333"/>
      <c r="D21" s="334"/>
      <c r="E21" s="335"/>
      <c r="F21" s="335"/>
      <c r="G21" s="336"/>
      <c r="H21" s="337"/>
      <c r="I21" s="334"/>
      <c r="J21" s="338"/>
      <c r="K21" s="339"/>
      <c r="L21" s="339"/>
      <c r="M21" s="616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8"/>
    </row>
    <row r="22" spans="1:24" s="323" customFormat="1" ht="21.75" customHeight="1">
      <c r="A22" s="474" t="s">
        <v>332</v>
      </c>
      <c r="B22" s="658" t="s">
        <v>296</v>
      </c>
      <c r="C22" s="659"/>
      <c r="D22" s="660"/>
      <c r="E22" s="390">
        <f t="shared" ref="E22:L22" si="0">SUM(E7:E21)</f>
        <v>7842824.7799999993</v>
      </c>
      <c r="F22" s="388">
        <f t="shared" si="0"/>
        <v>6014297.4500000002</v>
      </c>
      <c r="G22" s="419">
        <f t="shared" si="0"/>
        <v>9603</v>
      </c>
      <c r="H22" s="419">
        <f t="shared" si="0"/>
        <v>1327.7</v>
      </c>
      <c r="I22" s="340">
        <f t="shared" si="0"/>
        <v>3385</v>
      </c>
      <c r="J22" s="340">
        <f t="shared" si="0"/>
        <v>359.9</v>
      </c>
      <c r="K22" s="420">
        <f t="shared" si="0"/>
        <v>600</v>
      </c>
      <c r="L22" s="420">
        <f t="shared" si="0"/>
        <v>435.6</v>
      </c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615"/>
    </row>
    <row r="23" spans="1:24" s="342" customFormat="1" ht="3" customHeight="1">
      <c r="A23" s="472"/>
      <c r="B23" s="454"/>
      <c r="C23" s="454"/>
      <c r="D23" s="454"/>
      <c r="E23" s="455"/>
      <c r="F23" s="471"/>
      <c r="G23" s="455"/>
      <c r="H23" s="455"/>
      <c r="I23" s="455"/>
      <c r="J23" s="455"/>
      <c r="K23" s="455"/>
      <c r="L23" s="455"/>
      <c r="M23" s="473"/>
      <c r="N23" s="473"/>
      <c r="O23" s="473"/>
      <c r="P23" s="473"/>
      <c r="Q23" s="473"/>
      <c r="R23" s="473"/>
      <c r="S23" s="473"/>
      <c r="T23" s="473"/>
      <c r="U23" s="473"/>
      <c r="V23" s="473"/>
      <c r="W23" s="473"/>
      <c r="X23" s="473"/>
    </row>
    <row r="24" spans="1:24" s="323" customFormat="1">
      <c r="A24" s="666" t="s">
        <v>315</v>
      </c>
      <c r="B24" s="667"/>
      <c r="C24" s="667"/>
      <c r="D24" s="667"/>
      <c r="E24" s="667"/>
      <c r="F24" s="667"/>
      <c r="G24" s="667"/>
      <c r="H24" s="667"/>
      <c r="I24" s="667"/>
      <c r="J24" s="667"/>
      <c r="K24" s="667"/>
      <c r="L24" s="667"/>
      <c r="M24" s="667"/>
      <c r="N24" s="667"/>
      <c r="O24" s="667"/>
      <c r="P24" s="667"/>
      <c r="Q24" s="667"/>
      <c r="R24" s="667"/>
      <c r="S24" s="667"/>
      <c r="T24" s="667"/>
      <c r="U24" s="667"/>
      <c r="V24" s="667"/>
      <c r="W24" s="667"/>
      <c r="X24" s="667"/>
    </row>
    <row r="25" spans="1:24" s="323" customFormat="1" ht="45">
      <c r="A25" s="413">
        <v>15</v>
      </c>
      <c r="B25" s="438" t="s">
        <v>297</v>
      </c>
      <c r="C25" s="428" t="s">
        <v>316</v>
      </c>
      <c r="D25" s="411" t="s">
        <v>317</v>
      </c>
      <c r="E25" s="417">
        <v>774095</v>
      </c>
      <c r="F25" s="436"/>
      <c r="G25" s="334">
        <f>ROUND(167.38,1)</f>
        <v>167.4</v>
      </c>
      <c r="H25" s="439"/>
      <c r="I25" s="334">
        <f>ROUND(67.49,1)</f>
        <v>67.5</v>
      </c>
      <c r="J25" s="467"/>
      <c r="K25" s="334">
        <f>ROUND(94.01,1)</f>
        <v>94</v>
      </c>
      <c r="L25" s="440"/>
      <c r="M25" s="663" t="s">
        <v>318</v>
      </c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5"/>
    </row>
    <row r="26" spans="1:24" s="323" customFormat="1" ht="45">
      <c r="A26" s="413">
        <v>16</v>
      </c>
      <c r="B26" s="438" t="s">
        <v>298</v>
      </c>
      <c r="C26" s="429" t="s">
        <v>309</v>
      </c>
      <c r="D26" s="443"/>
      <c r="E26" s="417">
        <v>408885</v>
      </c>
      <c r="F26" s="431"/>
      <c r="G26" s="334">
        <v>191.7</v>
      </c>
      <c r="H26" s="444"/>
      <c r="I26" s="334">
        <v>65.400000000000006</v>
      </c>
      <c r="J26" s="330"/>
      <c r="K26" s="416"/>
      <c r="L26" s="431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615"/>
    </row>
    <row r="27" spans="1:24" s="323" customFormat="1" ht="45">
      <c r="A27" s="413">
        <v>17</v>
      </c>
      <c r="B27" s="438" t="s">
        <v>299</v>
      </c>
      <c r="C27" s="428" t="s">
        <v>305</v>
      </c>
      <c r="D27" s="447" t="s">
        <v>321</v>
      </c>
      <c r="E27" s="417">
        <v>174632</v>
      </c>
      <c r="F27" s="417">
        <v>270156.90000000002</v>
      </c>
      <c r="G27" s="334">
        <v>48.3</v>
      </c>
      <c r="H27" s="387">
        <v>52</v>
      </c>
      <c r="I27" s="334">
        <v>29.1</v>
      </c>
      <c r="J27" s="338">
        <v>15.6</v>
      </c>
      <c r="K27" s="416"/>
      <c r="L27" s="431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  <c r="X27" s="615"/>
    </row>
    <row r="28" spans="1:24" s="323" customFormat="1" ht="45.75" customHeight="1">
      <c r="A28" s="413">
        <v>18</v>
      </c>
      <c r="B28" s="490" t="s">
        <v>300</v>
      </c>
      <c r="C28" s="428" t="s">
        <v>305</v>
      </c>
      <c r="D28" s="411" t="s">
        <v>310</v>
      </c>
      <c r="E28" s="417">
        <v>420000</v>
      </c>
      <c r="F28" s="445"/>
      <c r="G28" s="416"/>
      <c r="H28" s="446"/>
      <c r="I28" s="334">
        <v>85.8</v>
      </c>
      <c r="J28" s="330"/>
      <c r="K28" s="334">
        <v>251.4</v>
      </c>
      <c r="L28" s="431"/>
      <c r="M28" s="668" t="s">
        <v>320</v>
      </c>
      <c r="N28" s="669"/>
      <c r="O28" s="669"/>
      <c r="P28" s="669"/>
      <c r="Q28" s="669"/>
      <c r="R28" s="669"/>
      <c r="S28" s="669"/>
      <c r="T28" s="669"/>
      <c r="U28" s="669"/>
      <c r="V28" s="669"/>
      <c r="W28" s="669"/>
      <c r="X28" s="670"/>
    </row>
    <row r="29" spans="1:24" s="323" customFormat="1" ht="45">
      <c r="A29" s="413">
        <v>19</v>
      </c>
      <c r="B29" s="438" t="s">
        <v>301</v>
      </c>
      <c r="C29" s="428" t="s">
        <v>305</v>
      </c>
      <c r="D29" s="411" t="s">
        <v>310</v>
      </c>
      <c r="E29" s="417">
        <v>180000</v>
      </c>
      <c r="F29" s="417">
        <v>181850</v>
      </c>
      <c r="G29" s="416"/>
      <c r="H29" s="446"/>
      <c r="I29" s="341"/>
      <c r="J29" s="338">
        <v>39.9</v>
      </c>
      <c r="K29" s="334">
        <v>40</v>
      </c>
      <c r="L29" s="337">
        <v>48</v>
      </c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615"/>
    </row>
    <row r="30" spans="1:24" s="323" customFormat="1" ht="30" customHeight="1">
      <c r="A30" s="410">
        <v>20</v>
      </c>
      <c r="B30" s="438" t="s">
        <v>302</v>
      </c>
      <c r="C30" s="428" t="s">
        <v>316</v>
      </c>
      <c r="D30" s="329" t="s">
        <v>317</v>
      </c>
      <c r="E30" s="417">
        <v>1500000</v>
      </c>
      <c r="F30" s="453"/>
      <c r="G30" s="418"/>
      <c r="H30" s="450"/>
      <c r="I30" s="448"/>
      <c r="J30" s="468"/>
      <c r="K30" s="449"/>
      <c r="L30" s="450"/>
      <c r="M30" s="615"/>
      <c r="N30" s="615"/>
      <c r="O30" s="615"/>
      <c r="P30" s="615"/>
      <c r="Q30" s="615"/>
      <c r="R30" s="615"/>
      <c r="S30" s="615"/>
      <c r="T30" s="615"/>
      <c r="U30" s="615"/>
      <c r="V30" s="615"/>
      <c r="W30" s="615"/>
      <c r="X30" s="615"/>
    </row>
    <row r="31" spans="1:24" s="342" customFormat="1" ht="30">
      <c r="A31" s="410">
        <v>21</v>
      </c>
      <c r="B31" s="438" t="s">
        <v>303</v>
      </c>
      <c r="C31" s="429" t="s">
        <v>309</v>
      </c>
      <c r="D31" s="451"/>
      <c r="E31" s="417">
        <v>500000</v>
      </c>
      <c r="F31" s="445"/>
      <c r="G31" s="341"/>
      <c r="H31" s="452"/>
      <c r="I31" s="341"/>
      <c r="J31" s="330"/>
      <c r="K31" s="334">
        <v>108</v>
      </c>
      <c r="L31" s="431"/>
      <c r="M31" s="662"/>
      <c r="N31" s="662"/>
      <c r="O31" s="662"/>
      <c r="P31" s="662"/>
      <c r="Q31" s="662"/>
      <c r="R31" s="662"/>
      <c r="S31" s="662"/>
      <c r="T31" s="662"/>
      <c r="U31" s="662"/>
      <c r="V31" s="662"/>
      <c r="W31" s="662"/>
      <c r="X31" s="662"/>
    </row>
    <row r="32" spans="1:24" s="323" customFormat="1" ht="23.25" customHeight="1">
      <c r="A32" s="474" t="s">
        <v>333</v>
      </c>
      <c r="B32" s="658" t="s">
        <v>304</v>
      </c>
      <c r="C32" s="659"/>
      <c r="D32" s="660"/>
      <c r="E32" s="390">
        <f>E25+E26+E27+E28+E29+E30+E31</f>
        <v>3957612</v>
      </c>
      <c r="F32" s="390">
        <f>F26+F27+F28+F29+F30+F31+F25</f>
        <v>452006.9</v>
      </c>
      <c r="G32" s="419">
        <f>G25+G26+G27+G28+G29+G30+G31</f>
        <v>407.40000000000003</v>
      </c>
      <c r="H32" s="419">
        <f t="shared" ref="H32:J32" si="1">H25+H26+H27+H28+H29+H30+H31</f>
        <v>52</v>
      </c>
      <c r="I32" s="390">
        <f t="shared" si="1"/>
        <v>247.8</v>
      </c>
      <c r="J32" s="390">
        <f t="shared" si="1"/>
        <v>55.5</v>
      </c>
      <c r="K32" s="420">
        <f>K25+K26+K27+K28+K29+K30+K31</f>
        <v>493.4</v>
      </c>
      <c r="L32" s="420">
        <f>L25+L26+L27+L28+L29+L30+L31</f>
        <v>48</v>
      </c>
      <c r="M32" s="616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8"/>
    </row>
    <row r="33" spans="1:24" s="342" customFormat="1" ht="6" customHeight="1">
      <c r="A33" s="475"/>
      <c r="B33" s="476"/>
      <c r="C33" s="476"/>
      <c r="D33" s="476"/>
      <c r="E33" s="477"/>
      <c r="F33" s="477"/>
      <c r="G33" s="477"/>
      <c r="H33" s="477"/>
      <c r="I33" s="477"/>
      <c r="J33" s="477"/>
      <c r="K33" s="477"/>
      <c r="L33" s="477"/>
    </row>
    <row r="34" spans="1:24" s="323" customFormat="1">
      <c r="A34" s="666" t="s">
        <v>334</v>
      </c>
      <c r="B34" s="677"/>
      <c r="C34" s="677"/>
      <c r="D34" s="677"/>
      <c r="E34" s="677"/>
      <c r="F34" s="677"/>
      <c r="G34" s="677"/>
      <c r="H34" s="677"/>
      <c r="I34" s="677"/>
      <c r="J34" s="677"/>
      <c r="K34" s="677"/>
      <c r="L34" s="677"/>
      <c r="M34" s="677"/>
      <c r="N34" s="677"/>
      <c r="O34" s="677"/>
      <c r="P34" s="677"/>
      <c r="Q34" s="677"/>
      <c r="R34" s="677"/>
      <c r="S34" s="677"/>
      <c r="T34" s="677"/>
      <c r="U34" s="677"/>
      <c r="V34" s="677"/>
      <c r="W34" s="677"/>
      <c r="X34" s="677"/>
    </row>
    <row r="35" spans="1:24" s="323" customFormat="1" ht="45">
      <c r="A35" s="413">
        <v>22</v>
      </c>
      <c r="B35" s="438" t="s">
        <v>322</v>
      </c>
      <c r="C35" s="428" t="s">
        <v>305</v>
      </c>
      <c r="D35" s="329" t="s">
        <v>323</v>
      </c>
      <c r="E35" s="456"/>
      <c r="F35" s="417">
        <v>1239723.8799999999</v>
      </c>
      <c r="G35" s="330"/>
      <c r="H35" s="457"/>
      <c r="I35" s="330"/>
      <c r="J35" s="338">
        <v>208.7</v>
      </c>
      <c r="K35" s="330"/>
      <c r="L35" s="458"/>
      <c r="M35" s="663"/>
      <c r="N35" s="664"/>
      <c r="O35" s="664"/>
      <c r="P35" s="664"/>
      <c r="Q35" s="664"/>
      <c r="R35" s="664"/>
      <c r="S35" s="664"/>
      <c r="T35" s="664"/>
      <c r="U35" s="664"/>
      <c r="V35" s="664"/>
      <c r="W35" s="664"/>
      <c r="X35" s="665"/>
    </row>
    <row r="36" spans="1:24" s="342" customFormat="1" ht="46.5" customHeight="1">
      <c r="A36" s="430">
        <v>23</v>
      </c>
      <c r="B36" s="438" t="s">
        <v>326</v>
      </c>
      <c r="C36" s="428" t="s">
        <v>305</v>
      </c>
      <c r="D36" s="329" t="s">
        <v>331</v>
      </c>
      <c r="E36" s="463"/>
      <c r="F36" s="417">
        <v>546999</v>
      </c>
      <c r="G36" s="464"/>
      <c r="H36" s="332">
        <v>227.9</v>
      </c>
      <c r="I36" s="464"/>
      <c r="J36" s="332">
        <v>102.8</v>
      </c>
      <c r="K36" s="464"/>
      <c r="L36" s="332">
        <v>73.5</v>
      </c>
      <c r="M36" s="661"/>
      <c r="N36" s="661"/>
      <c r="O36" s="661"/>
      <c r="P36" s="661"/>
      <c r="Q36" s="661"/>
      <c r="R36" s="661"/>
      <c r="S36" s="661"/>
      <c r="T36" s="661"/>
      <c r="U36" s="661"/>
      <c r="V36" s="661"/>
      <c r="W36" s="661"/>
      <c r="X36" s="661"/>
    </row>
    <row r="37" spans="1:24" s="342" customFormat="1" ht="30">
      <c r="A37" s="430">
        <v>24</v>
      </c>
      <c r="B37" s="438" t="s">
        <v>325</v>
      </c>
      <c r="C37" s="428" t="s">
        <v>305</v>
      </c>
      <c r="D37" s="329" t="s">
        <v>310</v>
      </c>
      <c r="E37" s="463"/>
      <c r="F37" s="417">
        <v>1045331.19</v>
      </c>
      <c r="G37" s="464"/>
      <c r="H37" s="332">
        <v>1650.3</v>
      </c>
      <c r="I37" s="464"/>
      <c r="J37" s="332">
        <v>606.79999999999995</v>
      </c>
      <c r="K37" s="464"/>
      <c r="L37" s="332"/>
      <c r="M37" s="674"/>
      <c r="N37" s="675"/>
      <c r="O37" s="675"/>
      <c r="P37" s="675"/>
      <c r="Q37" s="675"/>
      <c r="R37" s="675"/>
      <c r="S37" s="675"/>
      <c r="T37" s="675"/>
      <c r="U37" s="675"/>
      <c r="V37" s="675"/>
      <c r="W37" s="675"/>
      <c r="X37" s="676"/>
    </row>
    <row r="38" spans="1:24" s="342" customFormat="1" ht="30">
      <c r="A38" s="430">
        <v>25</v>
      </c>
      <c r="B38" s="438" t="s">
        <v>327</v>
      </c>
      <c r="C38" s="428" t="s">
        <v>305</v>
      </c>
      <c r="D38" s="329">
        <v>2017</v>
      </c>
      <c r="E38" s="463"/>
      <c r="F38" s="417">
        <v>596629</v>
      </c>
      <c r="G38" s="464"/>
      <c r="H38" s="332">
        <v>771.9</v>
      </c>
      <c r="I38" s="464"/>
      <c r="J38" s="332">
        <v>302</v>
      </c>
      <c r="K38" s="464"/>
      <c r="L38" s="332"/>
      <c r="M38" s="674"/>
      <c r="N38" s="675"/>
      <c r="O38" s="675"/>
      <c r="P38" s="675"/>
      <c r="Q38" s="675"/>
      <c r="R38" s="675"/>
      <c r="S38" s="675"/>
      <c r="T38" s="675"/>
      <c r="U38" s="675"/>
      <c r="V38" s="675"/>
      <c r="W38" s="675"/>
      <c r="X38" s="676"/>
    </row>
    <row r="39" spans="1:24" s="342" customFormat="1" ht="30">
      <c r="A39" s="430">
        <v>26</v>
      </c>
      <c r="B39" s="438" t="s">
        <v>328</v>
      </c>
      <c r="C39" s="428" t="s">
        <v>305</v>
      </c>
      <c r="D39" s="329" t="s">
        <v>329</v>
      </c>
      <c r="E39" s="463"/>
      <c r="F39" s="417">
        <f>241141.5+206148</f>
        <v>447289.5</v>
      </c>
      <c r="G39" s="464"/>
      <c r="H39" s="332"/>
      <c r="I39" s="464"/>
      <c r="J39" s="332">
        <f>ROUND(30.1+25.05,1)</f>
        <v>55.2</v>
      </c>
      <c r="K39" s="464"/>
      <c r="L39" s="332">
        <f>36.2+30.1</f>
        <v>66.300000000000011</v>
      </c>
      <c r="M39" s="674"/>
      <c r="N39" s="675"/>
      <c r="O39" s="675"/>
      <c r="P39" s="675"/>
      <c r="Q39" s="675"/>
      <c r="R39" s="675"/>
      <c r="S39" s="675"/>
      <c r="T39" s="675"/>
      <c r="U39" s="675"/>
      <c r="V39" s="675"/>
      <c r="W39" s="675"/>
      <c r="X39" s="676"/>
    </row>
    <row r="40" spans="1:24" s="342" customFormat="1" ht="30">
      <c r="A40" s="430">
        <v>27</v>
      </c>
      <c r="B40" s="438" t="s">
        <v>330</v>
      </c>
      <c r="C40" s="428" t="s">
        <v>305</v>
      </c>
      <c r="D40" s="329" t="s">
        <v>311</v>
      </c>
      <c r="E40" s="463"/>
      <c r="F40" s="335">
        <f>1128*5000</f>
        <v>5640000</v>
      </c>
      <c r="G40" s="464"/>
      <c r="H40" s="332"/>
      <c r="I40" s="464"/>
      <c r="J40" s="332">
        <f>ROUND(L40*C47,1)</f>
        <v>938.5</v>
      </c>
      <c r="K40" s="464"/>
      <c r="L40" s="332">
        <f>1128</f>
        <v>1128</v>
      </c>
      <c r="M40" s="674"/>
      <c r="N40" s="675"/>
      <c r="O40" s="675"/>
      <c r="P40" s="675"/>
      <c r="Q40" s="675"/>
      <c r="R40" s="675"/>
      <c r="S40" s="675"/>
      <c r="T40" s="675"/>
      <c r="U40" s="675"/>
      <c r="V40" s="675"/>
      <c r="W40" s="675"/>
      <c r="X40" s="676"/>
    </row>
    <row r="41" spans="1:24" s="342" customFormat="1" ht="23.25" customHeight="1">
      <c r="A41" s="474" t="s">
        <v>335</v>
      </c>
      <c r="B41" s="658" t="s">
        <v>336</v>
      </c>
      <c r="C41" s="659"/>
      <c r="D41" s="660"/>
      <c r="E41" s="390">
        <f>E35+E36+E37+E38+E39+E40</f>
        <v>0</v>
      </c>
      <c r="F41" s="390">
        <f>F35+F36+F37+F38+F39+F40</f>
        <v>9515972.5700000003</v>
      </c>
      <c r="G41" s="419">
        <f t="shared" ref="G41:H41" si="2">G35+G36+G37+G38+G39+G40</f>
        <v>0</v>
      </c>
      <c r="H41" s="419">
        <f t="shared" si="2"/>
        <v>2650.1</v>
      </c>
      <c r="I41" s="390">
        <f t="shared" ref="I41" si="3">I35+I36+I37+I38+I39+I40</f>
        <v>0</v>
      </c>
      <c r="J41" s="390">
        <f t="shared" ref="J41" si="4">J35+J36+J37+J38+J39+J40</f>
        <v>2214</v>
      </c>
      <c r="K41" s="420">
        <f t="shared" ref="K41" si="5">K35+K36+K37+K38+K39+K40</f>
        <v>0</v>
      </c>
      <c r="L41" s="420">
        <f t="shared" ref="L41" si="6">L35+L36+L37+L38+L39+L40</f>
        <v>1267.8</v>
      </c>
      <c r="M41" s="674"/>
      <c r="N41" s="675"/>
      <c r="O41" s="675"/>
      <c r="P41" s="675"/>
      <c r="Q41" s="675"/>
      <c r="R41" s="675"/>
      <c r="S41" s="675"/>
      <c r="T41" s="675"/>
      <c r="U41" s="675"/>
      <c r="V41" s="675"/>
      <c r="W41" s="675"/>
      <c r="X41" s="676"/>
    </row>
    <row r="42" spans="1:24" s="323" customFormat="1" ht="6.75" customHeight="1">
      <c r="B42" s="343"/>
      <c r="C42" s="344"/>
      <c r="D42" s="344"/>
      <c r="E42" s="345"/>
      <c r="F42" s="345"/>
      <c r="G42" s="322"/>
      <c r="I42" s="322"/>
      <c r="J42" s="322"/>
    </row>
    <row r="43" spans="1:24" s="323" customFormat="1">
      <c r="A43" s="652" t="s">
        <v>229</v>
      </c>
      <c r="B43" s="652"/>
      <c r="C43" s="652"/>
      <c r="D43" s="653"/>
      <c r="E43" s="346">
        <f>E41+E32+E22</f>
        <v>11800436.779999999</v>
      </c>
      <c r="F43" s="346">
        <f>F41+F32+F22</f>
        <v>15982276.920000002</v>
      </c>
      <c r="G43" s="498">
        <f t="shared" ref="G43:L43" si="7">G41+G32+G22</f>
        <v>10010.4</v>
      </c>
      <c r="H43" s="469">
        <f t="shared" si="7"/>
        <v>4029.8</v>
      </c>
      <c r="I43" s="499">
        <f t="shared" si="7"/>
        <v>3632.8</v>
      </c>
      <c r="J43" s="470">
        <f t="shared" si="7"/>
        <v>2629.4</v>
      </c>
      <c r="K43" s="500">
        <f t="shared" si="7"/>
        <v>1093.4000000000001</v>
      </c>
      <c r="L43" s="347">
        <f t="shared" si="7"/>
        <v>1751.4</v>
      </c>
      <c r="M43" s="616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8"/>
    </row>
    <row r="44" spans="1:24" s="323" customFormat="1">
      <c r="B44" s="343"/>
      <c r="C44" s="344"/>
      <c r="D44" s="344"/>
      <c r="E44" s="345"/>
      <c r="F44" s="345"/>
      <c r="G44" s="322"/>
      <c r="I44" s="322"/>
      <c r="J44" s="369"/>
      <c r="K44" s="479"/>
      <c r="L44" s="654"/>
      <c r="M44" s="654"/>
      <c r="N44" s="654"/>
      <c r="O44" s="654"/>
      <c r="P44" s="654"/>
      <c r="Q44" s="370"/>
    </row>
    <row r="45" spans="1:24" s="323" customFormat="1" ht="18">
      <c r="B45" s="348" t="s">
        <v>230</v>
      </c>
      <c r="C45" s="348"/>
      <c r="E45" s="349"/>
      <c r="F45" s="349"/>
      <c r="G45" s="350"/>
      <c r="H45" s="349"/>
      <c r="I45" s="322"/>
      <c r="J45" s="369"/>
      <c r="K45" s="349"/>
      <c r="L45" s="370"/>
      <c r="M45" s="370"/>
      <c r="N45" s="370"/>
      <c r="O45" s="370"/>
      <c r="P45" s="370"/>
      <c r="Q45" s="370"/>
    </row>
    <row r="46" spans="1:24" s="323" customFormat="1" ht="45">
      <c r="B46" s="351" t="s">
        <v>231</v>
      </c>
      <c r="C46" s="351" t="s">
        <v>232</v>
      </c>
      <c r="D46" s="351" t="s">
        <v>233</v>
      </c>
      <c r="E46" s="655"/>
      <c r="F46" s="352"/>
      <c r="G46" s="422"/>
      <c r="H46" s="423"/>
      <c r="I46" s="424"/>
      <c r="J46" s="425"/>
      <c r="K46" s="426"/>
      <c r="L46" s="426"/>
      <c r="M46" s="370"/>
    </row>
    <row r="47" spans="1:24" s="323" customFormat="1">
      <c r="B47" s="353" t="s">
        <v>27</v>
      </c>
      <c r="C47" s="354">
        <v>0.83199999999999996</v>
      </c>
      <c r="D47" s="355" t="s">
        <v>18</v>
      </c>
      <c r="E47" s="655"/>
      <c r="F47" s="352"/>
      <c r="G47" s="356"/>
      <c r="H47" s="425"/>
      <c r="I47" s="426"/>
      <c r="J47" s="425"/>
      <c r="K47" s="426"/>
      <c r="L47" s="426"/>
      <c r="M47" s="370"/>
    </row>
    <row r="48" spans="1:24" s="323" customFormat="1">
      <c r="B48" s="493" t="s">
        <v>28</v>
      </c>
      <c r="C48" s="354">
        <v>1.0999999999999999E-2</v>
      </c>
      <c r="D48" s="355" t="s">
        <v>18</v>
      </c>
      <c r="E48" s="488"/>
      <c r="F48" s="352"/>
      <c r="G48" s="356"/>
      <c r="H48" s="425"/>
      <c r="I48" s="426"/>
      <c r="J48" s="425"/>
      <c r="K48" s="426"/>
      <c r="L48" s="426"/>
      <c r="M48" s="370"/>
    </row>
    <row r="49" spans="2:13" s="323" customFormat="1">
      <c r="B49" s="353" t="s">
        <v>29</v>
      </c>
      <c r="C49" s="357">
        <v>0.20100000000000001</v>
      </c>
      <c r="D49" s="358" t="str">
        <f>[1]wskaźniki!C5</f>
        <v>34,39 [MJ/m3]</v>
      </c>
      <c r="E49" s="359"/>
      <c r="F49" s="360"/>
      <c r="G49" s="356"/>
      <c r="H49" s="423"/>
      <c r="I49" s="424"/>
      <c r="J49" s="425"/>
      <c r="K49" s="426"/>
      <c r="L49" s="426"/>
      <c r="M49" s="370"/>
    </row>
    <row r="50" spans="2:13" s="323" customFormat="1">
      <c r="B50" s="353" t="s">
        <v>234</v>
      </c>
      <c r="C50" s="357">
        <v>0.34100000000000003</v>
      </c>
      <c r="D50" s="361">
        <f>[1]wskaźniki!C7</f>
        <v>22.37</v>
      </c>
      <c r="E50" s="359"/>
      <c r="F50" s="360"/>
      <c r="G50" s="356"/>
      <c r="H50" s="425"/>
      <c r="I50" s="426"/>
      <c r="J50" s="425"/>
      <c r="K50" s="426"/>
      <c r="L50" s="426"/>
      <c r="M50" s="370"/>
    </row>
    <row r="51" spans="2:13" s="323" customFormat="1">
      <c r="B51" s="353" t="s">
        <v>235</v>
      </c>
      <c r="C51" s="357">
        <v>0</v>
      </c>
      <c r="D51" s="361">
        <v>15</v>
      </c>
      <c r="E51" s="359"/>
      <c r="F51" s="360"/>
      <c r="G51" s="356"/>
      <c r="H51" s="425"/>
      <c r="I51" s="426"/>
      <c r="J51" s="425"/>
      <c r="K51" s="426"/>
      <c r="L51" s="426"/>
      <c r="M51" s="370"/>
    </row>
    <row r="52" spans="2:13" s="323" customFormat="1">
      <c r="B52" s="362" t="s">
        <v>236</v>
      </c>
      <c r="C52" s="363">
        <v>0</v>
      </c>
      <c r="D52" s="364" t="s">
        <v>18</v>
      </c>
      <c r="E52" s="359"/>
      <c r="F52" s="360"/>
      <c r="G52" s="356"/>
      <c r="H52" s="425"/>
      <c r="I52" s="426"/>
      <c r="J52" s="425"/>
      <c r="K52" s="426"/>
      <c r="L52" s="426"/>
      <c r="M52" s="370"/>
    </row>
    <row r="53" spans="2:13" s="323" customFormat="1">
      <c r="B53" s="353" t="s">
        <v>30</v>
      </c>
      <c r="C53" s="357">
        <v>0.22500000000000001</v>
      </c>
      <c r="D53" s="361">
        <v>47.31</v>
      </c>
      <c r="E53" s="359"/>
      <c r="F53" s="360"/>
      <c r="G53" s="356"/>
      <c r="H53" s="425"/>
      <c r="I53" s="426"/>
      <c r="J53" s="425"/>
      <c r="K53" s="426"/>
      <c r="L53" s="426"/>
      <c r="M53" s="370"/>
    </row>
    <row r="54" spans="2:13" s="323" customFormat="1">
      <c r="B54" s="353" t="s">
        <v>32</v>
      </c>
      <c r="C54" s="365">
        <v>0.27600000000000002</v>
      </c>
      <c r="D54" s="361">
        <f>[1]wskaźniki!C8</f>
        <v>40.19</v>
      </c>
      <c r="E54" s="359"/>
      <c r="F54" s="360"/>
      <c r="G54" s="356"/>
      <c r="H54" s="425"/>
      <c r="I54" s="426"/>
      <c r="J54" s="425"/>
      <c r="K54" s="426"/>
      <c r="L54" s="426"/>
      <c r="M54" s="370"/>
    </row>
    <row r="55" spans="2:13" s="323" customFormat="1">
      <c r="B55" s="353" t="s">
        <v>237</v>
      </c>
      <c r="C55" s="365">
        <v>0.247</v>
      </c>
      <c r="D55" s="361">
        <f>[1]wskaźniki!C10</f>
        <v>44.8</v>
      </c>
      <c r="E55" s="359"/>
      <c r="F55" s="360"/>
      <c r="G55" s="356"/>
      <c r="H55" s="425"/>
      <c r="I55" s="426"/>
      <c r="J55" s="425"/>
      <c r="K55" s="426"/>
      <c r="L55" s="426"/>
      <c r="M55" s="370"/>
    </row>
    <row r="56" spans="2:13" s="323" customFormat="1">
      <c r="B56" s="353" t="s">
        <v>34</v>
      </c>
      <c r="C56" s="357">
        <v>0.26400000000000001</v>
      </c>
      <c r="D56" s="361">
        <f>[1]wskaźniki!C11</f>
        <v>43.33</v>
      </c>
      <c r="E56" s="359"/>
      <c r="F56" s="360"/>
      <c r="G56" s="356"/>
      <c r="H56" s="425"/>
      <c r="I56" s="426"/>
      <c r="J56" s="425"/>
      <c r="K56" s="426"/>
      <c r="L56" s="426"/>
      <c r="M56" s="370"/>
    </row>
    <row r="57" spans="2:13" s="323" customFormat="1">
      <c r="B57" s="366" t="s">
        <v>238</v>
      </c>
      <c r="C57" s="363">
        <v>0.22500000000000001</v>
      </c>
      <c r="D57" s="361">
        <f>[1]wskaźniki!C6</f>
        <v>47.31</v>
      </c>
      <c r="E57" s="359"/>
      <c r="F57" s="367"/>
      <c r="G57" s="368"/>
      <c r="H57" s="349"/>
      <c r="I57" s="369"/>
      <c r="J57" s="369"/>
      <c r="K57" s="370"/>
      <c r="L57" s="370"/>
      <c r="M57" s="370"/>
    </row>
    <row r="58" spans="2:13" s="323" customFormat="1">
      <c r="D58" s="370"/>
      <c r="E58" s="370"/>
      <c r="F58" s="370"/>
      <c r="G58" s="322"/>
      <c r="I58" s="322"/>
      <c r="J58" s="322"/>
    </row>
    <row r="59" spans="2:13" s="323" customFormat="1" ht="64.5" customHeight="1">
      <c r="B59" s="484" t="s">
        <v>239</v>
      </c>
      <c r="C59" s="485" t="s">
        <v>240</v>
      </c>
      <c r="D59" s="484" t="s">
        <v>241</v>
      </c>
      <c r="E59" s="484" t="s">
        <v>242</v>
      </c>
      <c r="F59" s="656" t="s">
        <v>388</v>
      </c>
      <c r="G59" s="657"/>
      <c r="I59" s="322"/>
      <c r="J59" s="322"/>
    </row>
    <row r="60" spans="2:13" s="323" customFormat="1" ht="15.75">
      <c r="B60" s="478" t="s">
        <v>244</v>
      </c>
      <c r="C60" s="371" t="s">
        <v>245</v>
      </c>
      <c r="D60" s="372">
        <f>G22</f>
        <v>9603</v>
      </c>
      <c r="E60" s="373">
        <f>H43</f>
        <v>4029.8</v>
      </c>
      <c r="F60" s="678">
        <f>ROUND(E60/D60*100,0)</f>
        <v>42</v>
      </c>
      <c r="G60" s="678"/>
      <c r="I60" s="322"/>
      <c r="J60" s="322"/>
    </row>
    <row r="61" spans="2:13" s="323" customFormat="1" ht="18.75">
      <c r="B61" s="478" t="s">
        <v>294</v>
      </c>
      <c r="C61" s="371" t="s">
        <v>243</v>
      </c>
      <c r="D61" s="372">
        <f>I22</f>
        <v>3385</v>
      </c>
      <c r="E61" s="373">
        <f>J43</f>
        <v>2629.4</v>
      </c>
      <c r="F61" s="683">
        <f>ROUND(E61/D61*100,0)</f>
        <v>78</v>
      </c>
      <c r="G61" s="684"/>
      <c r="I61" s="322"/>
      <c r="J61" s="322"/>
    </row>
    <row r="62" spans="2:13" s="323" customFormat="1" ht="31.5">
      <c r="B62" s="478" t="s">
        <v>246</v>
      </c>
      <c r="C62" s="371" t="s">
        <v>245</v>
      </c>
      <c r="D62" s="374">
        <f>K22</f>
        <v>600</v>
      </c>
      <c r="E62" s="373">
        <f>L43</f>
        <v>1751.4</v>
      </c>
      <c r="F62" s="671">
        <f>ROUND(E62/D62*100,0)</f>
        <v>292</v>
      </c>
      <c r="G62" s="672"/>
      <c r="I62" s="322"/>
      <c r="J62" s="322"/>
    </row>
    <row r="63" spans="2:13" s="323" customFormat="1" ht="31.5">
      <c r="B63" s="478" t="s">
        <v>337</v>
      </c>
      <c r="C63" s="375" t="s">
        <v>247</v>
      </c>
      <c r="D63" s="486">
        <f>ROUND((D70+D62)/D68*100,1)</f>
        <v>8.6999999999999993</v>
      </c>
      <c r="E63" s="486">
        <f>ROUND((D70+E62)/D68*100,1)</f>
        <v>9.1</v>
      </c>
      <c r="F63" s="673"/>
      <c r="G63" s="673"/>
      <c r="I63" s="322"/>
      <c r="J63" s="322"/>
    </row>
    <row r="64" spans="2:13" s="323" customFormat="1">
      <c r="G64" s="322"/>
      <c r="I64" s="322"/>
      <c r="J64" s="322"/>
    </row>
    <row r="65" spans="2:10" s="323" customFormat="1" ht="15.75" thickBot="1">
      <c r="B65" s="679"/>
      <c r="C65" s="679"/>
      <c r="D65" s="679"/>
      <c r="E65" s="679"/>
      <c r="G65" s="322"/>
      <c r="I65" s="322"/>
      <c r="J65" s="322"/>
    </row>
    <row r="66" spans="2:10" s="376" customFormat="1" ht="24.75" customHeight="1" thickBot="1">
      <c r="B66" s="680" t="s">
        <v>248</v>
      </c>
      <c r="C66" s="681"/>
      <c r="D66" s="681"/>
      <c r="E66" s="682"/>
      <c r="G66" s="377"/>
      <c r="I66" s="377"/>
      <c r="J66" s="377"/>
    </row>
    <row r="67" spans="2:10" s="376" customFormat="1" ht="15.75" thickBot="1">
      <c r="B67" s="482" t="s">
        <v>249</v>
      </c>
      <c r="C67" s="483" t="s">
        <v>240</v>
      </c>
      <c r="D67" s="483">
        <v>2014</v>
      </c>
      <c r="E67" s="483">
        <v>2020</v>
      </c>
      <c r="G67" s="377"/>
      <c r="I67" s="377"/>
      <c r="J67" s="377"/>
    </row>
    <row r="68" spans="2:10" s="480" customFormat="1" ht="18.75" customHeight="1" thickBot="1">
      <c r="B68" s="378" t="s">
        <v>252</v>
      </c>
      <c r="C68" s="379" t="s">
        <v>245</v>
      </c>
      <c r="D68" s="380">
        <v>257021.29</v>
      </c>
      <c r="E68" s="380">
        <f>D68-E60</f>
        <v>252991.49000000002</v>
      </c>
      <c r="G68" s="481"/>
      <c r="I68" s="481"/>
      <c r="J68" s="481"/>
    </row>
    <row r="69" spans="2:10" s="376" customFormat="1" ht="19.5" customHeight="1" thickBot="1">
      <c r="B69" s="378" t="s">
        <v>250</v>
      </c>
      <c r="C69" s="379" t="s">
        <v>251</v>
      </c>
      <c r="D69" s="380">
        <v>84593.76</v>
      </c>
      <c r="E69" s="380">
        <f>D69-E61</f>
        <v>81964.36</v>
      </c>
      <c r="G69" s="377"/>
      <c r="I69" s="377"/>
      <c r="J69" s="377"/>
    </row>
    <row r="70" spans="2:10" s="376" customFormat="1" ht="18.75" customHeight="1" thickBot="1">
      <c r="B70" s="378" t="s">
        <v>338</v>
      </c>
      <c r="C70" s="379" t="s">
        <v>245</v>
      </c>
      <c r="D70" s="379">
        <v>21647.48</v>
      </c>
      <c r="E70" s="380">
        <f>D70+E62</f>
        <v>23398.880000000001</v>
      </c>
      <c r="G70" s="377"/>
      <c r="I70" s="377"/>
      <c r="J70" s="377"/>
    </row>
    <row r="71" spans="2:10" s="323" customFormat="1">
      <c r="G71" s="322"/>
      <c r="I71" s="322"/>
      <c r="J71" s="322"/>
    </row>
    <row r="72" spans="2:10" s="323" customFormat="1">
      <c r="G72" s="322"/>
      <c r="I72" s="322"/>
      <c r="J72" s="322"/>
    </row>
  </sheetData>
  <mergeCells count="60">
    <mergeCell ref="B65:E65"/>
    <mergeCell ref="B66:E66"/>
    <mergeCell ref="F61:G61"/>
    <mergeCell ref="M41:X41"/>
    <mergeCell ref="M43:X43"/>
    <mergeCell ref="M27:X27"/>
    <mergeCell ref="M28:X28"/>
    <mergeCell ref="F62:G62"/>
    <mergeCell ref="F63:G63"/>
    <mergeCell ref="M32:X32"/>
    <mergeCell ref="M37:X37"/>
    <mergeCell ref="M38:X38"/>
    <mergeCell ref="M39:X39"/>
    <mergeCell ref="M40:X40"/>
    <mergeCell ref="A34:X34"/>
    <mergeCell ref="M35:X35"/>
    <mergeCell ref="F60:G60"/>
    <mergeCell ref="M21:X21"/>
    <mergeCell ref="A43:D43"/>
    <mergeCell ref="L44:P44"/>
    <mergeCell ref="E46:E47"/>
    <mergeCell ref="F59:G59"/>
    <mergeCell ref="B22:D22"/>
    <mergeCell ref="B32:D32"/>
    <mergeCell ref="B41:D41"/>
    <mergeCell ref="M36:X36"/>
    <mergeCell ref="M29:X29"/>
    <mergeCell ref="M30:X30"/>
    <mergeCell ref="M31:X31"/>
    <mergeCell ref="M22:X22"/>
    <mergeCell ref="M25:X25"/>
    <mergeCell ref="A24:X24"/>
    <mergeCell ref="M26:X26"/>
    <mergeCell ref="M5:X6"/>
    <mergeCell ref="M10:X10"/>
    <mergeCell ref="M7:X9"/>
    <mergeCell ref="H7:H9"/>
    <mergeCell ref="J7:J9"/>
    <mergeCell ref="A3:E3"/>
    <mergeCell ref="A5:A6"/>
    <mergeCell ref="B5:B6"/>
    <mergeCell ref="C5:C6"/>
    <mergeCell ref="D5:D6"/>
    <mergeCell ref="E5:F5"/>
    <mergeCell ref="A4:L4"/>
    <mergeCell ref="G5:H5"/>
    <mergeCell ref="I5:J5"/>
    <mergeCell ref="K5:L5"/>
    <mergeCell ref="M16:X16"/>
    <mergeCell ref="M17:X17"/>
    <mergeCell ref="M18:X18"/>
    <mergeCell ref="M19:X19"/>
    <mergeCell ref="M20:X20"/>
    <mergeCell ref="M15:X15"/>
    <mergeCell ref="F7:F9"/>
    <mergeCell ref="M14:X14"/>
    <mergeCell ref="M11:X11"/>
    <mergeCell ref="M12:X12"/>
    <mergeCell ref="M13:X13"/>
    <mergeCell ref="L7:L9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2:R63"/>
  <sheetViews>
    <sheetView tabSelected="1" topLeftCell="A2" zoomScale="90" zoomScaleNormal="90" workbookViewId="0">
      <selection activeCell="E66" sqref="E66"/>
    </sheetView>
  </sheetViews>
  <sheetFormatPr defaultRowHeight="15"/>
  <cols>
    <col min="1" max="1" width="4.28515625" style="321" customWidth="1"/>
    <col min="2" max="2" width="56.5703125" style="321" customWidth="1"/>
    <col min="3" max="3" width="17.140625" style="321" customWidth="1"/>
    <col min="4" max="4" width="14.7109375" style="321" customWidth="1"/>
    <col min="5" max="5" width="16.140625" style="321" customWidth="1"/>
    <col min="6" max="6" width="15" style="321" customWidth="1"/>
    <col min="7" max="7" width="16.140625" style="321" bestFit="1" customWidth="1"/>
    <col min="8" max="9" width="9.85546875" style="321" bestFit="1" customWidth="1"/>
    <col min="10" max="14" width="9.140625" style="321"/>
    <col min="15" max="15" width="13.85546875" style="321" customWidth="1"/>
    <col min="16" max="16" width="13.5703125" style="321" customWidth="1"/>
    <col min="17" max="17" width="14" style="321" customWidth="1"/>
    <col min="18" max="16384" width="9.140625" style="321"/>
  </cols>
  <sheetData>
    <row r="2" spans="1:18" ht="6" customHeight="1"/>
    <row r="3" spans="1:18" ht="24.75" customHeight="1">
      <c r="A3" s="694" t="s">
        <v>371</v>
      </c>
      <c r="B3" s="695"/>
      <c r="C3" s="695"/>
      <c r="D3" s="695"/>
      <c r="E3" s="695"/>
      <c r="F3" s="695"/>
      <c r="G3" s="696"/>
      <c r="H3" s="689"/>
      <c r="I3" s="690"/>
      <c r="J3" s="690"/>
      <c r="K3" s="690"/>
      <c r="L3" s="690"/>
      <c r="M3" s="690"/>
      <c r="N3" s="690"/>
      <c r="O3" s="690"/>
      <c r="P3" s="690"/>
      <c r="Q3" s="690"/>
    </row>
    <row r="4" spans="1:18" ht="24.75" customHeight="1">
      <c r="A4" s="382" t="s">
        <v>216</v>
      </c>
      <c r="B4" s="697" t="s">
        <v>253</v>
      </c>
      <c r="C4" s="698"/>
      <c r="D4" s="698"/>
      <c r="E4" s="698"/>
      <c r="F4" s="698"/>
      <c r="G4" s="698"/>
      <c r="H4" s="729"/>
      <c r="I4" s="730"/>
      <c r="J4" s="730"/>
      <c r="K4" s="730"/>
      <c r="L4" s="730"/>
      <c r="M4" s="730"/>
      <c r="N4" s="731"/>
      <c r="O4" s="723" t="s">
        <v>375</v>
      </c>
      <c r="P4" s="724"/>
      <c r="Q4" s="725"/>
      <c r="R4" s="383"/>
    </row>
    <row r="5" spans="1:18" s="322" customFormat="1" ht="22.5" customHeight="1">
      <c r="A5" s="699" t="s">
        <v>307</v>
      </c>
      <c r="B5" s="700" t="s">
        <v>295</v>
      </c>
      <c r="C5" s="701" t="s">
        <v>254</v>
      </c>
      <c r="D5" s="703" t="s">
        <v>255</v>
      </c>
      <c r="E5" s="705" t="s">
        <v>256</v>
      </c>
      <c r="F5" s="706"/>
      <c r="G5" s="707"/>
      <c r="H5" s="717" t="s">
        <v>257</v>
      </c>
      <c r="I5" s="718"/>
      <c r="J5" s="718"/>
      <c r="K5" s="718"/>
      <c r="L5" s="718"/>
      <c r="M5" s="718"/>
      <c r="N5" s="719"/>
      <c r="O5" s="726"/>
      <c r="P5" s="727"/>
      <c r="Q5" s="728"/>
      <c r="R5" s="713"/>
    </row>
    <row r="6" spans="1:18" s="322" customFormat="1" ht="51" customHeight="1">
      <c r="A6" s="699"/>
      <c r="B6" s="700"/>
      <c r="C6" s="702"/>
      <c r="D6" s="704"/>
      <c r="E6" s="462" t="s">
        <v>324</v>
      </c>
      <c r="F6" s="441" t="s">
        <v>222</v>
      </c>
      <c r="G6" s="441" t="s">
        <v>223</v>
      </c>
      <c r="H6" s="720"/>
      <c r="I6" s="721"/>
      <c r="J6" s="721"/>
      <c r="K6" s="721"/>
      <c r="L6" s="721"/>
      <c r="M6" s="721"/>
      <c r="N6" s="722"/>
      <c r="O6" s="515" t="s">
        <v>376</v>
      </c>
      <c r="P6" s="515" t="s">
        <v>377</v>
      </c>
      <c r="Q6" s="515" t="s">
        <v>378</v>
      </c>
      <c r="R6" s="713"/>
    </row>
    <row r="7" spans="1:18" s="322" customFormat="1" ht="30" customHeight="1">
      <c r="A7" s="337" t="s">
        <v>258</v>
      </c>
      <c r="B7" s="442" t="s">
        <v>297</v>
      </c>
      <c r="C7" s="384" t="s">
        <v>317</v>
      </c>
      <c r="D7" s="332">
        <v>805500</v>
      </c>
      <c r="E7" s="338">
        <v>167.4</v>
      </c>
      <c r="F7" s="338">
        <v>67.7</v>
      </c>
      <c r="G7" s="331"/>
      <c r="H7" s="714" t="s">
        <v>319</v>
      </c>
      <c r="I7" s="715"/>
      <c r="J7" s="715"/>
      <c r="K7" s="715"/>
      <c r="L7" s="715"/>
      <c r="M7" s="715"/>
      <c r="N7" s="716"/>
      <c r="O7" s="526">
        <f>ROUND($E$7*E42,4)</f>
        <v>2.9999999999999997E-4</v>
      </c>
      <c r="P7" s="526">
        <f>ROUND($E$7*F42,4)</f>
        <v>2.9999999999999997E-4</v>
      </c>
      <c r="Q7" s="526">
        <f>ROUND($E$7*G42,6)</f>
        <v>0</v>
      </c>
      <c r="R7" s="350"/>
    </row>
    <row r="8" spans="1:18" ht="30" customHeight="1">
      <c r="A8" s="460" t="s">
        <v>259</v>
      </c>
      <c r="B8" s="459" t="s">
        <v>302</v>
      </c>
      <c r="C8" s="384" t="s">
        <v>317</v>
      </c>
      <c r="D8" s="332">
        <v>1202517.5</v>
      </c>
      <c r="E8" s="387">
        <v>290</v>
      </c>
      <c r="F8" s="338">
        <v>116.9</v>
      </c>
      <c r="G8" s="336">
        <v>21.6</v>
      </c>
      <c r="H8" s="714" t="s">
        <v>319</v>
      </c>
      <c r="I8" s="715"/>
      <c r="J8" s="715"/>
      <c r="K8" s="715"/>
      <c r="L8" s="715"/>
      <c r="M8" s="715"/>
      <c r="N8" s="716"/>
      <c r="O8" s="526">
        <f>ROUND($E$8*E48+$G$8*E41,4)</f>
        <v>3.8E-3</v>
      </c>
      <c r="P8" s="526">
        <f>ROUND($E$8*F48+$G$8*F41,4)</f>
        <v>3.8E-3</v>
      </c>
      <c r="Q8" s="526">
        <f>ROUND($E$8*G48+$G$8*G41,5)</f>
        <v>1.0000000000000001E-5</v>
      </c>
    </row>
    <row r="9" spans="1:18" ht="30" customHeight="1">
      <c r="A9" s="460" t="s">
        <v>260</v>
      </c>
      <c r="B9" s="459" t="s">
        <v>339</v>
      </c>
      <c r="C9" s="385">
        <v>2021</v>
      </c>
      <c r="D9" s="332">
        <v>300000</v>
      </c>
      <c r="E9" s="387">
        <v>100</v>
      </c>
      <c r="F9" s="386">
        <v>39.1</v>
      </c>
      <c r="G9" s="491"/>
      <c r="H9" s="714" t="s">
        <v>342</v>
      </c>
      <c r="I9" s="715"/>
      <c r="J9" s="715"/>
      <c r="K9" s="715"/>
      <c r="L9" s="715"/>
      <c r="M9" s="715"/>
      <c r="N9" s="716"/>
      <c r="O9" s="529">
        <f>$E$9*E45</f>
        <v>0.19</v>
      </c>
      <c r="P9" s="529">
        <f t="shared" ref="P9" si="0">$E$9*F45</f>
        <v>0.18</v>
      </c>
      <c r="Q9" s="532">
        <f>ROUND($E$9*G45,5)</f>
        <v>6.9999999999999994E-5</v>
      </c>
    </row>
    <row r="10" spans="1:18" ht="30" customHeight="1">
      <c r="A10" s="338" t="s">
        <v>261</v>
      </c>
      <c r="B10" s="459" t="s">
        <v>340</v>
      </c>
      <c r="C10" s="384" t="s">
        <v>341</v>
      </c>
      <c r="D10" s="496">
        <f>309604.8+350000+500000</f>
        <v>1159604.8</v>
      </c>
      <c r="E10" s="387">
        <f>102.3+45</f>
        <v>147.30000000000001</v>
      </c>
      <c r="F10" s="387">
        <f>ROUND(E10*C44,1)</f>
        <v>50.2</v>
      </c>
      <c r="G10" s="492"/>
      <c r="H10" s="714" t="s">
        <v>346</v>
      </c>
      <c r="I10" s="715"/>
      <c r="J10" s="715"/>
      <c r="K10" s="715"/>
      <c r="L10" s="715"/>
      <c r="M10" s="715"/>
      <c r="N10" s="716"/>
      <c r="O10" s="526">
        <f>ROUND($E$10*E44,4)</f>
        <v>0.27989999999999998</v>
      </c>
      <c r="P10" s="526">
        <f>ROUND($E$10*F44,4)</f>
        <v>0.221</v>
      </c>
      <c r="Q10" s="526">
        <f>ROUND($E$10*G44,5)</f>
        <v>1.6000000000000001E-4</v>
      </c>
    </row>
    <row r="11" spans="1:18" ht="30" customHeight="1">
      <c r="A11" s="338" t="s">
        <v>262</v>
      </c>
      <c r="B11" s="459" t="s">
        <v>344</v>
      </c>
      <c r="C11" s="384" t="s">
        <v>345</v>
      </c>
      <c r="D11" s="495" t="s">
        <v>313</v>
      </c>
      <c r="E11" s="338">
        <f>ROUND(0.4*(7.31+237.31),1)</f>
        <v>97.8</v>
      </c>
      <c r="F11" s="338">
        <f>ROUND((0.4*7.31*C42+0.4*237.31*C44),1)</f>
        <v>32.4</v>
      </c>
      <c r="G11" s="494"/>
      <c r="H11" s="714" t="s">
        <v>352</v>
      </c>
      <c r="I11" s="715"/>
      <c r="J11" s="715"/>
      <c r="K11" s="715"/>
      <c r="L11" s="715"/>
      <c r="M11" s="715"/>
      <c r="N11" s="716"/>
      <c r="O11" s="526">
        <f>ROUND((0.4*7.31*E42+0.4*237.31*E44),4)</f>
        <v>0.1804</v>
      </c>
      <c r="P11" s="526">
        <f>ROUND((0.4*7.31*F42+0.4*237.31*F44),4)</f>
        <v>0.1424</v>
      </c>
      <c r="Q11" s="532">
        <f>ROUND((0.4*7.31*G42+0.4*237.31*G44),5)</f>
        <v>1E-4</v>
      </c>
    </row>
    <row r="12" spans="1:18" ht="30" customHeight="1">
      <c r="A12" s="338" t="s">
        <v>263</v>
      </c>
      <c r="B12" s="459" t="s">
        <v>348</v>
      </c>
      <c r="C12" s="384" t="s">
        <v>347</v>
      </c>
      <c r="D12" s="332">
        <f>50*20000+100*15000+50*15000</f>
        <v>3250000</v>
      </c>
      <c r="E12" s="336">
        <f>50*10+100*5.5</f>
        <v>1050</v>
      </c>
      <c r="F12" s="336">
        <f>50*4+100*4+50*1.5</f>
        <v>675</v>
      </c>
      <c r="G12" s="336">
        <f>50*2.5</f>
        <v>125</v>
      </c>
      <c r="H12" s="714" t="s">
        <v>352</v>
      </c>
      <c r="I12" s="715"/>
      <c r="J12" s="715"/>
      <c r="K12" s="715"/>
      <c r="L12" s="715"/>
      <c r="M12" s="715"/>
      <c r="N12" s="716"/>
      <c r="O12" s="526">
        <f>ROUND(50*10*E44+100*5.5*E44*50*2.5*E41,4)</f>
        <v>0.95389999999999997</v>
      </c>
      <c r="P12" s="526">
        <f>ROUND(50*10*F44+100*5.5*F44*50*2.5*F41,4)</f>
        <v>0.75309999999999999</v>
      </c>
      <c r="Q12" s="526">
        <f>ROUND(50*10*G44+100*5.5*G44*50*2.5*G41,5)</f>
        <v>5.5000000000000003E-4</v>
      </c>
    </row>
    <row r="13" spans="1:18" ht="30" customHeight="1">
      <c r="A13" s="338" t="s">
        <v>264</v>
      </c>
      <c r="B13" s="459" t="s">
        <v>349</v>
      </c>
      <c r="C13" s="384" t="s">
        <v>341</v>
      </c>
      <c r="D13" s="332">
        <f>7000*400*4</f>
        <v>11200000</v>
      </c>
      <c r="E13" s="331"/>
      <c r="F13" s="387">
        <f>(400*4*1000/1000)*C41</f>
        <v>1331.2</v>
      </c>
      <c r="G13" s="421">
        <f>400*4*1000/1000</f>
        <v>1600</v>
      </c>
      <c r="H13" s="714" t="s">
        <v>352</v>
      </c>
      <c r="I13" s="715"/>
      <c r="J13" s="715"/>
      <c r="K13" s="715"/>
      <c r="L13" s="715"/>
      <c r="M13" s="715"/>
      <c r="N13" s="716"/>
      <c r="O13" s="529">
        <f>$G$13*E41</f>
        <v>4.8000000000000001E-2</v>
      </c>
      <c r="P13" s="529">
        <f>$G$13*F41</f>
        <v>4.8000000000000001E-2</v>
      </c>
      <c r="Q13" s="529">
        <f>$G$13*G41</f>
        <v>7.9999999999999993E-5</v>
      </c>
    </row>
    <row r="14" spans="1:18" ht="30" customHeight="1">
      <c r="A14" s="338" t="s">
        <v>265</v>
      </c>
      <c r="B14" s="459" t="s">
        <v>350</v>
      </c>
      <c r="C14" s="384" t="s">
        <v>341</v>
      </c>
      <c r="D14" s="495" t="s">
        <v>313</v>
      </c>
      <c r="E14" s="331"/>
      <c r="F14" s="338">
        <f>ROUND(99.86*C48+86.53*C48+237.31*C44+55.97*C48+94.16*C48+413.29*C44,1)+104+32+71</f>
        <v>521.70000000000005</v>
      </c>
      <c r="G14" s="421">
        <f>ROUND(99.86+86.53+237.31+55.97+94.16+413.29,1)+125+38+85</f>
        <v>1235.0999999999999</v>
      </c>
      <c r="H14" s="714" t="s">
        <v>352</v>
      </c>
      <c r="I14" s="715"/>
      <c r="J14" s="715"/>
      <c r="K14" s="715"/>
      <c r="L14" s="715"/>
      <c r="M14" s="715"/>
      <c r="N14" s="716"/>
      <c r="O14" s="526">
        <f>ROUND(((99.86*E48+86.53*E48+237.31*E44+55.97*E48+94.16*E48+413.29*E44)+ (125+38+85)*E41),4)</f>
        <v>1.2473000000000001</v>
      </c>
      <c r="P14" s="526">
        <f>ROUND(((99.86*F48+86.53*F48+237.31*F44+55.97*F48+94.16*F48+413.29*F44)+ (125+38+85)*F41),4)</f>
        <v>0.98699999999999999</v>
      </c>
      <c r="Q14" s="526">
        <f>ROUND(((99.86*G48+86.53*G48+237.31*G44+55.97*G48+94.16*G48+413.29*G44)+ (125+38+85)*G41),5)</f>
        <v>7.3999999999999999E-4</v>
      </c>
    </row>
    <row r="15" spans="1:18" ht="24" customHeight="1">
      <c r="A15" s="338" t="s">
        <v>266</v>
      </c>
      <c r="B15" s="511" t="s">
        <v>351</v>
      </c>
      <c r="C15" s="385" t="s">
        <v>341</v>
      </c>
      <c r="D15" s="496">
        <f>2500000*4.5</f>
        <v>11250000</v>
      </c>
      <c r="E15" s="331"/>
      <c r="F15" s="387">
        <f>G15*C41</f>
        <v>3744</v>
      </c>
      <c r="G15" s="387">
        <f>4.5*1000</f>
        <v>4500</v>
      </c>
      <c r="H15" s="714" t="s">
        <v>353</v>
      </c>
      <c r="I15" s="715"/>
      <c r="J15" s="715"/>
      <c r="K15" s="715"/>
      <c r="L15" s="715"/>
      <c r="M15" s="715"/>
      <c r="N15" s="716"/>
      <c r="O15" s="526">
        <f>ROUND($G$15*E41,4)</f>
        <v>0.13500000000000001</v>
      </c>
      <c r="P15" s="526">
        <f>ROUND($G$15*F41,4)</f>
        <v>0.13500000000000001</v>
      </c>
      <c r="Q15" s="526">
        <f>ROUND($G$15*G41,5)</f>
        <v>2.3000000000000001E-4</v>
      </c>
    </row>
    <row r="16" spans="1:18" ht="30" customHeight="1">
      <c r="A16" s="338" t="s">
        <v>267</v>
      </c>
      <c r="B16" s="459" t="s">
        <v>354</v>
      </c>
      <c r="C16" s="385" t="s">
        <v>341</v>
      </c>
      <c r="D16" s="496">
        <v>2500000</v>
      </c>
      <c r="E16" s="338">
        <f>ROUND(561*0.5,1)</f>
        <v>280.5</v>
      </c>
      <c r="F16" s="338">
        <f>ROUND(E16*C41,1)</f>
        <v>233.4</v>
      </c>
      <c r="G16" s="331"/>
      <c r="H16" s="714" t="s">
        <v>352</v>
      </c>
      <c r="I16" s="715"/>
      <c r="J16" s="715"/>
      <c r="K16" s="715"/>
      <c r="L16" s="715"/>
      <c r="M16" s="715"/>
      <c r="N16" s="716"/>
      <c r="O16" s="526">
        <f>ROUND($E$16*E41,4)</f>
        <v>8.3999999999999995E-3</v>
      </c>
      <c r="P16" s="526">
        <f>ROUND($E$16*F41,4)</f>
        <v>8.3999999999999995E-3</v>
      </c>
      <c r="Q16" s="526">
        <f>ROUND($E$16*G41,5)</f>
        <v>1.0000000000000001E-5</v>
      </c>
    </row>
    <row r="17" spans="1:17" ht="15" customHeight="1">
      <c r="A17" s="338" t="s">
        <v>268</v>
      </c>
      <c r="B17" s="459" t="s">
        <v>355</v>
      </c>
      <c r="C17" s="384" t="s">
        <v>341</v>
      </c>
      <c r="D17" s="496">
        <f>D18+D19+D20+D21+D22+D23+D24+D25</f>
        <v>13450000</v>
      </c>
      <c r="E17" s="389">
        <f>ROUND(E18+E19+E20+E21+E22+E23+E24+E25,1)</f>
        <v>216.5</v>
      </c>
      <c r="F17" s="389">
        <f>ROUND(F18+F19+F20+F21+F22+F23+F24+F25,1)</f>
        <v>55.1</v>
      </c>
      <c r="G17" s="390"/>
      <c r="H17" s="714" t="s">
        <v>352</v>
      </c>
      <c r="I17" s="715"/>
      <c r="J17" s="715"/>
      <c r="K17" s="715"/>
      <c r="L17" s="715"/>
      <c r="M17" s="715"/>
      <c r="N17" s="716"/>
      <c r="O17" s="526">
        <f>SUM(O18:O25)</f>
        <v>6.5000000000000008E-4</v>
      </c>
      <c r="P17" s="526">
        <f t="shared" ref="P17:Q17" si="1">SUM(P18:P25)</f>
        <v>6.5000000000000008E-4</v>
      </c>
      <c r="Q17" s="526">
        <f t="shared" si="1"/>
        <v>0</v>
      </c>
    </row>
    <row r="18" spans="1:17">
      <c r="A18" s="685" t="s">
        <v>356</v>
      </c>
      <c r="B18" s="686"/>
      <c r="C18" s="384" t="s">
        <v>341</v>
      </c>
      <c r="D18" s="530">
        <f>1*1000000</f>
        <v>1000000</v>
      </c>
      <c r="E18" s="531">
        <f>1*16.1</f>
        <v>16.100000000000001</v>
      </c>
      <c r="F18" s="531">
        <f>1*4.1</f>
        <v>4.0999999999999996</v>
      </c>
      <c r="G18" s="507"/>
      <c r="H18" s="691"/>
      <c r="I18" s="692"/>
      <c r="J18" s="692"/>
      <c r="K18" s="692"/>
      <c r="L18" s="692"/>
      <c r="M18" s="692"/>
      <c r="N18" s="693"/>
      <c r="O18" s="533">
        <f>ROUND($E$18*E50,5)</f>
        <v>5.0000000000000002E-5</v>
      </c>
      <c r="P18" s="533">
        <f>ROUND($E$18*$F$50,5)</f>
        <v>5.0000000000000002E-5</v>
      </c>
      <c r="Q18" s="533">
        <f>ROUND(E18*$G$50,5)</f>
        <v>0</v>
      </c>
    </row>
    <row r="19" spans="1:17">
      <c r="A19" s="685" t="s">
        <v>357</v>
      </c>
      <c r="B19" s="686"/>
      <c r="C19" s="384" t="s">
        <v>341</v>
      </c>
      <c r="D19" s="530">
        <f>2.4*1000000</f>
        <v>2400000</v>
      </c>
      <c r="E19" s="531">
        <f>2.4*16.1</f>
        <v>38.64</v>
      </c>
      <c r="F19" s="531">
        <f>2.4*4.1</f>
        <v>9.8399999999999981</v>
      </c>
      <c r="G19" s="507"/>
      <c r="H19" s="691"/>
      <c r="I19" s="692"/>
      <c r="J19" s="692"/>
      <c r="K19" s="692"/>
      <c r="L19" s="692"/>
      <c r="M19" s="692"/>
      <c r="N19" s="693"/>
      <c r="O19" s="533">
        <f>ROUND(E19*$E$50,5)</f>
        <v>1.2E-4</v>
      </c>
      <c r="P19" s="533">
        <f>ROUND(E19*$F$50,5)</f>
        <v>1.2E-4</v>
      </c>
      <c r="Q19" s="533">
        <f t="shared" ref="Q19:Q25" si="2">ROUND(E19*$G$50,5)</f>
        <v>0</v>
      </c>
    </row>
    <row r="20" spans="1:17" ht="14.25" customHeight="1">
      <c r="A20" s="685" t="s">
        <v>358</v>
      </c>
      <c r="B20" s="686"/>
      <c r="C20" s="384" t="s">
        <v>341</v>
      </c>
      <c r="D20" s="530">
        <f>1.25*1000000</f>
        <v>1250000</v>
      </c>
      <c r="E20" s="531">
        <f>1.25*16.1</f>
        <v>20.125</v>
      </c>
      <c r="F20" s="531">
        <f>1.25*4.1</f>
        <v>5.125</v>
      </c>
      <c r="G20" s="507"/>
      <c r="H20" s="691"/>
      <c r="I20" s="692"/>
      <c r="J20" s="692"/>
      <c r="K20" s="692"/>
      <c r="L20" s="692"/>
      <c r="M20" s="692"/>
      <c r="N20" s="693"/>
      <c r="O20" s="533">
        <f t="shared" ref="O20:O25" si="3">ROUND(E20*$E$50,5)</f>
        <v>6.0000000000000002E-5</v>
      </c>
      <c r="P20" s="533">
        <f t="shared" ref="P20:P25" si="4">ROUND(E20*$F$50,5)</f>
        <v>6.0000000000000002E-5</v>
      </c>
      <c r="Q20" s="533">
        <f t="shared" si="2"/>
        <v>0</v>
      </c>
    </row>
    <row r="21" spans="1:17">
      <c r="A21" s="685" t="s">
        <v>359</v>
      </c>
      <c r="B21" s="686"/>
      <c r="C21" s="384" t="s">
        <v>341</v>
      </c>
      <c r="D21" s="530">
        <f>1.9*1000000</f>
        <v>1900000</v>
      </c>
      <c r="E21" s="531">
        <f>1.9*16.1</f>
        <v>30.59</v>
      </c>
      <c r="F21" s="531">
        <f>1.9*4.1</f>
        <v>7.7899999999999991</v>
      </c>
      <c r="G21" s="507"/>
      <c r="H21" s="691"/>
      <c r="I21" s="692"/>
      <c r="J21" s="692"/>
      <c r="K21" s="692"/>
      <c r="L21" s="692"/>
      <c r="M21" s="692"/>
      <c r="N21" s="693"/>
      <c r="O21" s="533">
        <f t="shared" si="3"/>
        <v>9.0000000000000006E-5</v>
      </c>
      <c r="P21" s="533">
        <f t="shared" si="4"/>
        <v>9.0000000000000006E-5</v>
      </c>
      <c r="Q21" s="533">
        <f t="shared" si="2"/>
        <v>0</v>
      </c>
    </row>
    <row r="22" spans="1:17">
      <c r="A22" s="685" t="s">
        <v>360</v>
      </c>
      <c r="B22" s="686"/>
      <c r="C22" s="384" t="s">
        <v>341</v>
      </c>
      <c r="D22" s="530">
        <f>3*1000000</f>
        <v>3000000</v>
      </c>
      <c r="E22" s="531">
        <f>3*16.1</f>
        <v>48.300000000000004</v>
      </c>
      <c r="F22" s="531">
        <f>3*4.1</f>
        <v>12.299999999999999</v>
      </c>
      <c r="G22" s="507"/>
      <c r="H22" s="691"/>
      <c r="I22" s="692"/>
      <c r="J22" s="692"/>
      <c r="K22" s="692"/>
      <c r="L22" s="692"/>
      <c r="M22" s="692"/>
      <c r="N22" s="693"/>
      <c r="O22" s="533">
        <f t="shared" si="3"/>
        <v>1.3999999999999999E-4</v>
      </c>
      <c r="P22" s="533">
        <f t="shared" si="4"/>
        <v>1.3999999999999999E-4</v>
      </c>
      <c r="Q22" s="533">
        <f t="shared" si="2"/>
        <v>0</v>
      </c>
    </row>
    <row r="23" spans="1:17">
      <c r="A23" s="685" t="s">
        <v>361</v>
      </c>
      <c r="B23" s="686"/>
      <c r="C23" s="384" t="s">
        <v>341</v>
      </c>
      <c r="D23" s="530">
        <f>1*1000000</f>
        <v>1000000</v>
      </c>
      <c r="E23" s="531">
        <f>1*16.1</f>
        <v>16.100000000000001</v>
      </c>
      <c r="F23" s="531">
        <f>1*4.1</f>
        <v>4.0999999999999996</v>
      </c>
      <c r="G23" s="507"/>
      <c r="H23" s="691"/>
      <c r="I23" s="692"/>
      <c r="J23" s="692"/>
      <c r="K23" s="692"/>
      <c r="L23" s="692"/>
      <c r="M23" s="692"/>
      <c r="N23" s="693"/>
      <c r="O23" s="533">
        <f t="shared" si="3"/>
        <v>5.0000000000000002E-5</v>
      </c>
      <c r="P23" s="533">
        <f t="shared" si="4"/>
        <v>5.0000000000000002E-5</v>
      </c>
      <c r="Q23" s="533">
        <f t="shared" si="2"/>
        <v>0</v>
      </c>
    </row>
    <row r="24" spans="1:17">
      <c r="A24" s="685" t="s">
        <v>362</v>
      </c>
      <c r="B24" s="686"/>
      <c r="C24" s="384" t="s">
        <v>341</v>
      </c>
      <c r="D24" s="530">
        <f>2.5*1000000</f>
        <v>2500000</v>
      </c>
      <c r="E24" s="531">
        <f>2.5*16.1</f>
        <v>40.25</v>
      </c>
      <c r="F24" s="531">
        <f>2.5*4.1</f>
        <v>10.25</v>
      </c>
      <c r="G24" s="507"/>
      <c r="H24" s="691"/>
      <c r="I24" s="692"/>
      <c r="J24" s="692"/>
      <c r="K24" s="692"/>
      <c r="L24" s="692"/>
      <c r="M24" s="692"/>
      <c r="N24" s="693"/>
      <c r="O24" s="533">
        <f t="shared" si="3"/>
        <v>1.2E-4</v>
      </c>
      <c r="P24" s="533">
        <f t="shared" si="4"/>
        <v>1.2E-4</v>
      </c>
      <c r="Q24" s="533">
        <f t="shared" si="2"/>
        <v>0</v>
      </c>
    </row>
    <row r="25" spans="1:17" ht="23.25" customHeight="1">
      <c r="A25" s="687" t="s">
        <v>363</v>
      </c>
      <c r="B25" s="688"/>
      <c r="C25" s="384" t="s">
        <v>341</v>
      </c>
      <c r="D25" s="530">
        <f>0.4*1000000</f>
        <v>400000</v>
      </c>
      <c r="E25" s="531">
        <f>0.4*16.1</f>
        <v>6.4400000000000013</v>
      </c>
      <c r="F25" s="531">
        <f>0.4*4.1</f>
        <v>1.64</v>
      </c>
      <c r="G25" s="507"/>
      <c r="H25" s="691"/>
      <c r="I25" s="692"/>
      <c r="J25" s="692"/>
      <c r="K25" s="692"/>
      <c r="L25" s="692"/>
      <c r="M25" s="692"/>
      <c r="N25" s="693"/>
      <c r="O25" s="533">
        <f t="shared" si="3"/>
        <v>2.0000000000000002E-5</v>
      </c>
      <c r="P25" s="533">
        <f t="shared" si="4"/>
        <v>2.0000000000000002E-5</v>
      </c>
      <c r="Q25" s="533">
        <f t="shared" si="2"/>
        <v>0</v>
      </c>
    </row>
    <row r="26" spans="1:17">
      <c r="A26" s="685" t="s">
        <v>364</v>
      </c>
      <c r="B26" s="686"/>
      <c r="C26" s="384" t="s">
        <v>341</v>
      </c>
      <c r="D26" s="505"/>
      <c r="E26" s="506"/>
      <c r="F26" s="506"/>
      <c r="G26" s="507"/>
      <c r="H26" s="691"/>
      <c r="I26" s="692"/>
      <c r="J26" s="692"/>
      <c r="K26" s="692"/>
      <c r="L26" s="692"/>
      <c r="M26" s="692"/>
      <c r="N26" s="693"/>
      <c r="O26" s="512"/>
      <c r="P26" s="512"/>
      <c r="Q26" s="512"/>
    </row>
    <row r="27" spans="1:17">
      <c r="A27" s="685" t="s">
        <v>365</v>
      </c>
      <c r="B27" s="686"/>
      <c r="C27" s="384" t="s">
        <v>341</v>
      </c>
      <c r="D27" s="508"/>
      <c r="E27" s="509"/>
      <c r="F27" s="509"/>
      <c r="G27" s="510"/>
      <c r="H27" s="691"/>
      <c r="I27" s="692"/>
      <c r="J27" s="692"/>
      <c r="K27" s="692"/>
      <c r="L27" s="692"/>
      <c r="M27" s="692"/>
      <c r="N27" s="693"/>
      <c r="O27" s="512"/>
      <c r="P27" s="512"/>
      <c r="Q27" s="512"/>
    </row>
    <row r="28" spans="1:17">
      <c r="A28" s="461" t="s">
        <v>269</v>
      </c>
      <c r="B28" s="459" t="s">
        <v>366</v>
      </c>
      <c r="C28" s="334" t="s">
        <v>341</v>
      </c>
      <c r="D28" s="390"/>
      <c r="E28" s="330"/>
      <c r="F28" s="497"/>
      <c r="G28" s="497"/>
      <c r="H28" s="739"/>
      <c r="I28" s="740"/>
      <c r="J28" s="740"/>
      <c r="K28" s="740"/>
      <c r="L28" s="740"/>
      <c r="M28" s="740"/>
      <c r="N28" s="741"/>
      <c r="O28" s="513"/>
      <c r="P28" s="513"/>
      <c r="Q28" s="513"/>
    </row>
    <row r="29" spans="1:17" ht="34.5" customHeight="1">
      <c r="A29" s="461" t="s">
        <v>270</v>
      </c>
      <c r="B29" s="459" t="s">
        <v>292</v>
      </c>
      <c r="C29" s="334" t="s">
        <v>341</v>
      </c>
      <c r="D29" s="390"/>
      <c r="E29" s="330"/>
      <c r="F29" s="497"/>
      <c r="G29" s="497"/>
      <c r="H29" s="708" t="s">
        <v>367</v>
      </c>
      <c r="I29" s="709"/>
      <c r="J29" s="709"/>
      <c r="K29" s="709"/>
      <c r="L29" s="709"/>
      <c r="M29" s="709"/>
      <c r="N29" s="710"/>
      <c r="O29" s="514"/>
      <c r="P29" s="514"/>
      <c r="Q29" s="514"/>
    </row>
    <row r="30" spans="1:17">
      <c r="A30" s="461" t="s">
        <v>271</v>
      </c>
      <c r="B30" s="528" t="s">
        <v>293</v>
      </c>
      <c r="C30" s="334" t="s">
        <v>341</v>
      </c>
      <c r="D30" s="390"/>
      <c r="E30" s="330"/>
      <c r="F30" s="497"/>
      <c r="G30" s="497"/>
      <c r="H30" s="708" t="s">
        <v>367</v>
      </c>
      <c r="I30" s="709"/>
      <c r="J30" s="709"/>
      <c r="K30" s="709"/>
      <c r="L30" s="709"/>
      <c r="M30" s="709"/>
      <c r="N30" s="710"/>
      <c r="O30" s="514"/>
      <c r="P30" s="514"/>
      <c r="Q30" s="514"/>
    </row>
    <row r="31" spans="1:17">
      <c r="A31" s="461" t="s">
        <v>272</v>
      </c>
      <c r="B31" s="528" t="s">
        <v>368</v>
      </c>
      <c r="C31" s="334" t="s">
        <v>341</v>
      </c>
      <c r="D31" s="390"/>
      <c r="E31" s="330"/>
      <c r="F31" s="497"/>
      <c r="G31" s="497"/>
      <c r="H31" s="708" t="s">
        <v>367</v>
      </c>
      <c r="I31" s="709"/>
      <c r="J31" s="709"/>
      <c r="K31" s="709"/>
      <c r="L31" s="709"/>
      <c r="M31" s="709"/>
      <c r="N31" s="710"/>
      <c r="O31" s="514"/>
      <c r="P31" s="514"/>
      <c r="Q31" s="514"/>
    </row>
    <row r="32" spans="1:17" ht="27.75" customHeight="1">
      <c r="A32" s="461" t="s">
        <v>273</v>
      </c>
      <c r="B32" s="511" t="s">
        <v>369</v>
      </c>
      <c r="C32" s="334" t="s">
        <v>341</v>
      </c>
      <c r="D32" s="504"/>
      <c r="E32" s="330"/>
      <c r="F32" s="330"/>
      <c r="G32" s="331"/>
      <c r="H32" s="708" t="s">
        <v>370</v>
      </c>
      <c r="I32" s="709"/>
      <c r="J32" s="709"/>
      <c r="K32" s="709"/>
      <c r="L32" s="709"/>
      <c r="M32" s="709"/>
      <c r="N32" s="710"/>
      <c r="O32" s="514"/>
      <c r="P32" s="514"/>
      <c r="Q32" s="514"/>
    </row>
    <row r="33" spans="1:17">
      <c r="A33" s="527"/>
      <c r="B33" s="459"/>
      <c r="C33" s="334"/>
      <c r="D33" s="504"/>
      <c r="E33" s="330"/>
      <c r="F33" s="330"/>
      <c r="G33" s="331"/>
      <c r="H33" s="501"/>
      <c r="I33" s="502"/>
      <c r="J33" s="502"/>
      <c r="K33" s="502"/>
      <c r="L33" s="502"/>
      <c r="M33" s="502"/>
      <c r="N33" s="503"/>
      <c r="O33" s="514"/>
      <c r="P33" s="514"/>
      <c r="Q33" s="514"/>
    </row>
    <row r="34" spans="1:17">
      <c r="A34" s="737" t="s">
        <v>274</v>
      </c>
      <c r="B34" s="738"/>
      <c r="C34" s="738"/>
      <c r="D34" s="534">
        <f>D7+D8+D9+D10+D12+D13+D15+D16+D17+D28+D29+D30+D31+D32</f>
        <v>45117622.299999997</v>
      </c>
      <c r="E34" s="534">
        <f>E7+E8+E9+E10+E11+E12+E13+E14+E15+E16+E17+E28+E32+E29+E30+E31</f>
        <v>2349.5</v>
      </c>
      <c r="F34" s="534">
        <f>F7+F8+F9+F10+F11+F12+F13+F14+F15+F16+F17+F28+F32</f>
        <v>6866.7</v>
      </c>
      <c r="G34" s="534">
        <f>G7+G8+G9+G10+G11+G12+G13+G14+G15+G16+G17+G28+G32</f>
        <v>7481.7</v>
      </c>
      <c r="H34" s="711"/>
      <c r="I34" s="712"/>
      <c r="J34" s="712"/>
      <c r="K34" s="712"/>
      <c r="L34" s="712"/>
      <c r="M34" s="712"/>
      <c r="N34" s="712"/>
      <c r="O34" s="535">
        <f>ROUND(O7+O8+O9+O10+O11+O12+O13+O14+O15+O16+O17,4)</f>
        <v>3.0476999999999999</v>
      </c>
      <c r="P34" s="535">
        <f>ROUND(P7+P8+P9+P10+P11+P12+P13+P14+P15+P16+P17,4)</f>
        <v>2.4796999999999998</v>
      </c>
      <c r="Q34" s="535">
        <f>ROUND(Q7+Q8+Q9+Q10+Q11+Q12+Q13+Q14+Q15+Q16+Q17,4)</f>
        <v>2E-3</v>
      </c>
    </row>
    <row r="35" spans="1:17" s="391" customFormat="1">
      <c r="A35" s="338"/>
      <c r="E35" s="381"/>
      <c r="F35" s="381"/>
      <c r="G35" s="381"/>
    </row>
    <row r="36" spans="1:17" s="391" customFormat="1" hidden="1">
      <c r="A36" s="392"/>
      <c r="B36" s="393"/>
      <c r="C36" s="394"/>
      <c r="D36" s="395"/>
      <c r="E36" s="381"/>
      <c r="F36" s="381"/>
      <c r="G36" s="381"/>
    </row>
    <row r="37" spans="1:17" s="391" customFormat="1" hidden="1">
      <c r="A37" s="392"/>
      <c r="B37" s="393"/>
      <c r="C37" s="394"/>
      <c r="D37" s="395"/>
      <c r="E37" s="381"/>
      <c r="F37" s="381"/>
      <c r="G37" s="381"/>
    </row>
    <row r="38" spans="1:17" s="391" customFormat="1">
      <c r="A38" s="392"/>
      <c r="E38" s="381"/>
      <c r="F38" s="381"/>
      <c r="G38" s="381"/>
    </row>
    <row r="39" spans="1:17" s="391" customFormat="1" ht="18">
      <c r="A39" s="392"/>
      <c r="B39" s="348" t="s">
        <v>230</v>
      </c>
      <c r="C39" s="348"/>
      <c r="D39" s="323"/>
      <c r="E39" s="381"/>
      <c r="F39" s="381"/>
      <c r="G39" s="381"/>
    </row>
    <row r="40" spans="1:17" ht="48">
      <c r="B40" s="351" t="s">
        <v>231</v>
      </c>
      <c r="C40" s="351" t="s">
        <v>232</v>
      </c>
      <c r="D40" s="351" t="s">
        <v>233</v>
      </c>
      <c r="E40" s="536" t="s">
        <v>379</v>
      </c>
      <c r="F40" s="536" t="s">
        <v>380</v>
      </c>
      <c r="G40" s="536" t="s">
        <v>381</v>
      </c>
      <c r="H40" s="383"/>
      <c r="I40" s="383"/>
    </row>
    <row r="41" spans="1:17">
      <c r="B41" s="353" t="s">
        <v>27</v>
      </c>
      <c r="C41" s="354">
        <v>0.83199999999999996</v>
      </c>
      <c r="D41" s="355" t="s">
        <v>18</v>
      </c>
      <c r="E41" s="517">
        <f>ROUND(0.029/1000,5)</f>
        <v>3.0000000000000001E-5</v>
      </c>
      <c r="F41" s="517">
        <f>ROUND(0.029/1000,5)</f>
        <v>3.0000000000000001E-5</v>
      </c>
      <c r="G41" s="518">
        <f>ROUND(13/1000/1000/1000*3.6,8)</f>
        <v>4.9999999999999998E-8</v>
      </c>
      <c r="H41" s="516"/>
      <c r="I41" s="516"/>
    </row>
    <row r="42" spans="1:17">
      <c r="B42" s="493" t="s">
        <v>28</v>
      </c>
      <c r="C42" s="354">
        <v>1.0999999999999999E-2</v>
      </c>
      <c r="D42" s="355" t="s">
        <v>18</v>
      </c>
      <c r="E42" s="517">
        <f>ROUND(0.5/1000/1000*3.6,6)</f>
        <v>1.9999999999999999E-6</v>
      </c>
      <c r="F42" s="517">
        <f>ROUND(0.5/1000/1000*3.6,6)</f>
        <v>1.9999999999999999E-6</v>
      </c>
      <c r="G42" s="519">
        <f>ROUND(8*0.0000001/1000/1000*3.6,10)</f>
        <v>0</v>
      </c>
      <c r="H42" s="489"/>
      <c r="I42" s="489"/>
    </row>
    <row r="43" spans="1:17">
      <c r="B43" s="353" t="s">
        <v>29</v>
      </c>
      <c r="C43" s="357">
        <v>0.20100000000000001</v>
      </c>
      <c r="D43" s="358">
        <f>[1]wskaźniki!C18</f>
        <v>0</v>
      </c>
      <c r="E43" s="517">
        <f>ROUND(0.5/1000/1000*3.6,6)</f>
        <v>1.9999999999999999E-6</v>
      </c>
      <c r="F43" s="517">
        <f>ROUND(0.5/1000/1000*3.6,6)</f>
        <v>1.9999999999999999E-6</v>
      </c>
      <c r="G43" s="519">
        <f>ROUND(8*0.0000001/1000/1000*3.6,10)</f>
        <v>0</v>
      </c>
      <c r="H43" s="383"/>
      <c r="I43" s="383"/>
    </row>
    <row r="44" spans="1:17">
      <c r="B44" s="353" t="s">
        <v>234</v>
      </c>
      <c r="C44" s="357">
        <v>0.34100000000000003</v>
      </c>
      <c r="D44" s="361">
        <f>[1]wskaźniki!C20</f>
        <v>0</v>
      </c>
      <c r="E44" s="520">
        <f>ROUND(534/1000/1000*3.6,4)</f>
        <v>1.9E-3</v>
      </c>
      <c r="F44" s="520">
        <f>ROUND(414/1000/1000*3.6,4)</f>
        <v>1.5E-3</v>
      </c>
      <c r="G44" s="520">
        <f>ROUND(0.3/1000/1000*3.6,7)</f>
        <v>1.1000000000000001E-6</v>
      </c>
      <c r="H44" s="383"/>
      <c r="I44" s="383"/>
    </row>
    <row r="45" spans="1:17">
      <c r="B45" s="353" t="s">
        <v>235</v>
      </c>
      <c r="C45" s="357">
        <v>0</v>
      </c>
      <c r="D45" s="361">
        <v>15</v>
      </c>
      <c r="E45" s="517">
        <f>ROUND(522/1000/1000*3.6,4)</f>
        <v>1.9E-3</v>
      </c>
      <c r="F45" s="517">
        <f>ROUND(495/1000/1000*3.6,4)</f>
        <v>1.8E-3</v>
      </c>
      <c r="G45" s="517">
        <f>ROUND(0.2/1000/1000*3.6,7)</f>
        <v>6.9999999999999997E-7</v>
      </c>
    </row>
    <row r="46" spans="1:17">
      <c r="B46" s="362" t="s">
        <v>236</v>
      </c>
      <c r="C46" s="363">
        <v>0</v>
      </c>
      <c r="D46" s="364" t="s">
        <v>18</v>
      </c>
      <c r="E46" s="517">
        <v>0</v>
      </c>
      <c r="F46" s="517">
        <v>0</v>
      </c>
      <c r="G46" s="517">
        <v>0</v>
      </c>
    </row>
    <row r="47" spans="1:17">
      <c r="B47" s="353" t="s">
        <v>30</v>
      </c>
      <c r="C47" s="357">
        <v>0.22500000000000001</v>
      </c>
      <c r="D47" s="361">
        <v>47.31</v>
      </c>
      <c r="E47" s="517">
        <f>ROUND(0.5/1000/1000*3.6,6)</f>
        <v>1.9999999999999999E-6</v>
      </c>
      <c r="F47" s="517">
        <f>ROUND(0.5/1000/1000*3.6,6)</f>
        <v>1.9999999999999999E-6</v>
      </c>
      <c r="G47" s="519">
        <f>ROUND(8*0.0000001/1000/1000*3.6,10)</f>
        <v>0</v>
      </c>
    </row>
    <row r="48" spans="1:17">
      <c r="B48" s="353" t="s">
        <v>32</v>
      </c>
      <c r="C48" s="365">
        <v>0.27600000000000002</v>
      </c>
      <c r="D48" s="361">
        <f>[1]wskaźniki!C21</f>
        <v>0</v>
      </c>
      <c r="E48" s="517">
        <f>ROUND(3/1000/1000*3.6,6)</f>
        <v>1.1E-5</v>
      </c>
      <c r="F48" s="517">
        <f>ROUND(3/1000/1000*3.6,6)</f>
        <v>1.1E-5</v>
      </c>
      <c r="G48" s="517">
        <f>ROUND(10/1000/1000/1000*3.6,8)</f>
        <v>4.0000000000000001E-8</v>
      </c>
    </row>
    <row r="49" spans="2:11">
      <c r="B49" s="353" t="s">
        <v>237</v>
      </c>
      <c r="C49" s="365">
        <v>0.247</v>
      </c>
      <c r="D49" s="361">
        <f>[1]wskaźniki!C23</f>
        <v>0</v>
      </c>
      <c r="E49" s="524"/>
      <c r="F49" s="524"/>
      <c r="G49" s="524"/>
    </row>
    <row r="50" spans="2:11">
      <c r="B50" s="353" t="s">
        <v>34</v>
      </c>
      <c r="C50" s="357">
        <v>0.26400000000000001</v>
      </c>
      <c r="D50" s="361">
        <f>[1]wskaźniki!C24</f>
        <v>0</v>
      </c>
      <c r="E50" s="522">
        <f>0.003/1000</f>
        <v>3.0000000000000001E-6</v>
      </c>
      <c r="F50" s="523">
        <f>0.003/1000</f>
        <v>3.0000000000000001E-6</v>
      </c>
      <c r="G50" s="521">
        <v>0</v>
      </c>
      <c r="H50" s="735" t="s">
        <v>382</v>
      </c>
      <c r="I50" s="736"/>
      <c r="J50" s="736"/>
      <c r="K50" s="736"/>
    </row>
    <row r="51" spans="2:11">
      <c r="B51" s="487" t="s">
        <v>238</v>
      </c>
      <c r="C51" s="363">
        <v>0.22500000000000001</v>
      </c>
      <c r="D51" s="361">
        <f>[1]wskaźniki!C19</f>
        <v>0</v>
      </c>
      <c r="E51" s="525"/>
      <c r="F51" s="525"/>
      <c r="G51" s="525"/>
    </row>
    <row r="52" spans="2:11">
      <c r="B52" s="396"/>
      <c r="C52" s="397"/>
    </row>
    <row r="53" spans="2:11" ht="31.5">
      <c r="B53" s="398" t="s">
        <v>239</v>
      </c>
      <c r="C53" s="399" t="s">
        <v>240</v>
      </c>
      <c r="D53" s="400" t="s">
        <v>275</v>
      </c>
      <c r="E53" s="400" t="s">
        <v>276</v>
      </c>
      <c r="F53" s="400" t="s">
        <v>372</v>
      </c>
      <c r="G53" s="537" t="s">
        <v>373</v>
      </c>
    </row>
    <row r="54" spans="2:11" ht="15.75">
      <c r="B54" s="478" t="s">
        <v>244</v>
      </c>
      <c r="C54" s="371" t="s">
        <v>245</v>
      </c>
      <c r="D54" s="401">
        <f>'10. Raport z działań 2020'!D60</f>
        <v>9603</v>
      </c>
      <c r="E54" s="401">
        <f>'10. Raport z działań 2020'!E60</f>
        <v>4029.8</v>
      </c>
      <c r="F54" s="402">
        <f>E54+E34</f>
        <v>6379.3</v>
      </c>
      <c r="G54" s="538"/>
    </row>
    <row r="55" spans="2:11" ht="18.75">
      <c r="B55" s="478" t="s">
        <v>294</v>
      </c>
      <c r="C55" s="371" t="s">
        <v>243</v>
      </c>
      <c r="D55" s="401">
        <f>'10. Raport z działań 2020'!D61</f>
        <v>3385</v>
      </c>
      <c r="E55" s="401">
        <f>'10. Raport z działań 2020'!E61</f>
        <v>2629.4</v>
      </c>
      <c r="F55" s="402">
        <f>E55+F34</f>
        <v>9496.1</v>
      </c>
      <c r="G55" s="538"/>
    </row>
    <row r="56" spans="2:11" ht="15.75">
      <c r="B56" s="478" t="s">
        <v>246</v>
      </c>
      <c r="C56" s="371" t="s">
        <v>245</v>
      </c>
      <c r="D56" s="401">
        <f>'10. Raport z działań 2020'!D62</f>
        <v>600</v>
      </c>
      <c r="E56" s="401">
        <f>'10. Raport z działań 2020'!E62</f>
        <v>1751.4</v>
      </c>
      <c r="F56" s="402">
        <f>E56+G34</f>
        <v>9233.1</v>
      </c>
      <c r="G56" s="538"/>
    </row>
    <row r="57" spans="2:11" ht="31.5">
      <c r="B57" s="478" t="s">
        <v>337</v>
      </c>
      <c r="C57" s="375" t="s">
        <v>247</v>
      </c>
      <c r="D57" s="401">
        <f>'10. Raport z działań 2020'!D63</f>
        <v>8.6999999999999993</v>
      </c>
      <c r="E57" s="401">
        <f>'10. Raport z działań 2020'!E63</f>
        <v>9.1</v>
      </c>
      <c r="F57" s="402">
        <f>ROUND((((21647.48+F56)/257021.29)*100),1)</f>
        <v>12</v>
      </c>
      <c r="G57" s="538"/>
    </row>
    <row r="58" spans="2:11">
      <c r="B58" s="733" t="s">
        <v>374</v>
      </c>
      <c r="C58" s="734"/>
      <c r="D58" s="734"/>
      <c r="E58" s="734"/>
      <c r="F58" s="734"/>
      <c r="G58" s="734"/>
    </row>
    <row r="60" spans="2:11" ht="31.5">
      <c r="B60" s="543" t="s">
        <v>383</v>
      </c>
      <c r="C60" s="544" t="s">
        <v>240</v>
      </c>
      <c r="D60" s="539"/>
      <c r="E60" s="539"/>
      <c r="F60" s="545" t="s">
        <v>372</v>
      </c>
      <c r="G60" s="546" t="s">
        <v>373</v>
      </c>
    </row>
    <row r="61" spans="2:11" ht="15.75">
      <c r="B61" s="540" t="s">
        <v>384</v>
      </c>
      <c r="C61" s="732" t="s">
        <v>385</v>
      </c>
      <c r="D61" s="539"/>
      <c r="E61" s="539"/>
      <c r="F61" s="542">
        <f>O34</f>
        <v>3.0476999999999999</v>
      </c>
      <c r="G61" s="538"/>
    </row>
    <row r="62" spans="2:11" ht="15.75">
      <c r="B62" s="540" t="s">
        <v>386</v>
      </c>
      <c r="C62" s="732"/>
      <c r="D62" s="539"/>
      <c r="E62" s="539"/>
      <c r="F62" s="542">
        <f>P34</f>
        <v>2.4796999999999998</v>
      </c>
      <c r="G62" s="538"/>
    </row>
    <row r="63" spans="2:11">
      <c r="B63" s="541" t="s">
        <v>387</v>
      </c>
      <c r="C63" s="732"/>
      <c r="D63" s="539"/>
      <c r="E63" s="539"/>
      <c r="F63" s="542">
        <f>Q34</f>
        <v>2E-3</v>
      </c>
      <c r="G63" s="538"/>
    </row>
  </sheetData>
  <mergeCells count="53">
    <mergeCell ref="C61:C63"/>
    <mergeCell ref="H16:N16"/>
    <mergeCell ref="H17:N17"/>
    <mergeCell ref="H18:N18"/>
    <mergeCell ref="H9:N9"/>
    <mergeCell ref="H10:N10"/>
    <mergeCell ref="H11:N11"/>
    <mergeCell ref="H12:N12"/>
    <mergeCell ref="H13:N13"/>
    <mergeCell ref="H14:N14"/>
    <mergeCell ref="H15:N15"/>
    <mergeCell ref="B58:G58"/>
    <mergeCell ref="H50:K50"/>
    <mergeCell ref="A34:C34"/>
    <mergeCell ref="H28:N28"/>
    <mergeCell ref="H29:N29"/>
    <mergeCell ref="H34:N34"/>
    <mergeCell ref="R5:R6"/>
    <mergeCell ref="H7:N7"/>
    <mergeCell ref="H5:N6"/>
    <mergeCell ref="H8:N8"/>
    <mergeCell ref="O4:Q5"/>
    <mergeCell ref="H4:N4"/>
    <mergeCell ref="H24:N24"/>
    <mergeCell ref="H25:N25"/>
    <mergeCell ref="H26:N26"/>
    <mergeCell ref="H27:N27"/>
    <mergeCell ref="D5:D6"/>
    <mergeCell ref="E5:G5"/>
    <mergeCell ref="H30:N30"/>
    <mergeCell ref="H31:N31"/>
    <mergeCell ref="H32:N32"/>
    <mergeCell ref="H3:Q3"/>
    <mergeCell ref="A18:B18"/>
    <mergeCell ref="A20:B20"/>
    <mergeCell ref="A22:B22"/>
    <mergeCell ref="A23:B23"/>
    <mergeCell ref="A19:B19"/>
    <mergeCell ref="H19:N19"/>
    <mergeCell ref="H20:N20"/>
    <mergeCell ref="H21:N21"/>
    <mergeCell ref="H22:N22"/>
    <mergeCell ref="H23:N23"/>
    <mergeCell ref="A3:G3"/>
    <mergeCell ref="B4:G4"/>
    <mergeCell ref="A5:A6"/>
    <mergeCell ref="B5:B6"/>
    <mergeCell ref="C5:C6"/>
    <mergeCell ref="A24:B24"/>
    <mergeCell ref="A25:B25"/>
    <mergeCell ref="A26:B26"/>
    <mergeCell ref="A27:B27"/>
    <mergeCell ref="A21:B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1"/>
  <sheetViews>
    <sheetView showGridLines="0" view="pageBreakPreview" zoomScale="120" zoomScaleSheetLayoutView="120" workbookViewId="0"/>
  </sheetViews>
  <sheetFormatPr defaultRowHeight="15"/>
  <cols>
    <col min="1" max="1" width="5.140625" customWidth="1"/>
    <col min="2" max="2" width="4.140625" customWidth="1"/>
    <col min="3" max="3" width="30.28515625" customWidth="1"/>
    <col min="4" max="4" width="3.7109375" customWidth="1"/>
  </cols>
  <sheetData>
    <row r="1" spans="2:3" ht="15.75" thickBot="1"/>
    <row r="2" spans="2:3">
      <c r="B2" s="204"/>
      <c r="C2" s="205" t="s">
        <v>159</v>
      </c>
    </row>
    <row r="3" spans="2:3">
      <c r="B3" s="206">
        <v>1</v>
      </c>
      <c r="C3" s="208" t="s">
        <v>160</v>
      </c>
    </row>
    <row r="4" spans="2:3">
      <c r="B4" s="206">
        <v>2</v>
      </c>
      <c r="C4" s="209" t="s">
        <v>161</v>
      </c>
    </row>
    <row r="5" spans="2:3">
      <c r="B5" s="206">
        <v>3</v>
      </c>
      <c r="C5" s="209" t="s">
        <v>200</v>
      </c>
    </row>
    <row r="6" spans="2:3">
      <c r="B6" s="206">
        <v>4</v>
      </c>
      <c r="C6" s="209" t="s">
        <v>201</v>
      </c>
    </row>
    <row r="7" spans="2:3">
      <c r="B7" s="206">
        <v>5</v>
      </c>
      <c r="C7" s="209" t="s">
        <v>202</v>
      </c>
    </row>
    <row r="8" spans="2:3">
      <c r="B8" s="206">
        <v>6</v>
      </c>
      <c r="C8" s="209" t="s">
        <v>203</v>
      </c>
    </row>
    <row r="9" spans="2:3">
      <c r="B9" s="206">
        <v>7</v>
      </c>
      <c r="C9" s="209" t="s">
        <v>204</v>
      </c>
    </row>
    <row r="10" spans="2:3">
      <c r="B10" s="206">
        <v>8</v>
      </c>
      <c r="C10" s="209" t="s">
        <v>58</v>
      </c>
    </row>
    <row r="11" spans="2:3" ht="15.75" thickBot="1">
      <c r="B11" s="207">
        <v>9</v>
      </c>
      <c r="C11" s="316" t="s">
        <v>205</v>
      </c>
    </row>
  </sheetData>
  <hyperlinks>
    <hyperlink ref="C3" location="'1.Metodologia'!A1" display="Metodologia"/>
    <hyperlink ref="C4" location="'2. Użyteczność publiczna'!A1" display="Użyteczność publiczna"/>
    <hyperlink ref="C5" location="'3. Mieszkalnictwo'!A1" display="Mieszkalnictwo"/>
    <hyperlink ref="C6" location="'4. Transport'!A1" display="Transport"/>
    <hyperlink ref="C7" location="'5. Oświetlenie'!A1" display="Oświetlenie"/>
    <hyperlink ref="C8" location="'6. Wod-kan'!A1" display="Infrastruktura wodno-ściekowa"/>
    <hyperlink ref="C9" location="'7. Przemysł i usługi'!A1" display="Przemysł i usługi"/>
    <hyperlink ref="C10" location="'8. Podsumowanie'!A1" display="Podsumowanie"/>
    <hyperlink ref="C11" location="'9. Prognoza 2020'!A1" display="Prognoza 2020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34"/>
  <sheetViews>
    <sheetView view="pageBreakPreview" topLeftCell="A10" zoomScaleSheetLayoutView="100" workbookViewId="0">
      <selection activeCell="B17" sqref="B17:D26"/>
    </sheetView>
  </sheetViews>
  <sheetFormatPr defaultRowHeight="15"/>
  <cols>
    <col min="1" max="1" width="1.5703125" customWidth="1"/>
    <col min="2" max="2" width="21.5703125" customWidth="1"/>
    <col min="3" max="3" width="13.7109375" customWidth="1"/>
    <col min="4" max="4" width="19.140625" customWidth="1"/>
  </cols>
  <sheetData>
    <row r="1" spans="2:9" ht="6.75" customHeight="1"/>
    <row r="2" spans="2:9" ht="15.75">
      <c r="B2" s="210" t="s">
        <v>162</v>
      </c>
    </row>
    <row r="3" spans="2:9">
      <c r="B3" t="s">
        <v>163</v>
      </c>
    </row>
    <row r="4" spans="2:9">
      <c r="B4" t="s">
        <v>164</v>
      </c>
    </row>
    <row r="5" spans="2:9">
      <c r="B5" t="s">
        <v>166</v>
      </c>
    </row>
    <row r="6" spans="2:9" ht="60" customHeight="1">
      <c r="B6" s="552" t="s">
        <v>167</v>
      </c>
      <c r="C6" s="552"/>
      <c r="D6" s="552"/>
      <c r="E6" s="552"/>
      <c r="F6" s="552"/>
      <c r="G6" s="552"/>
      <c r="H6" s="211"/>
      <c r="I6" s="211"/>
    </row>
    <row r="7" spans="2:9" ht="60" customHeight="1">
      <c r="B7" s="553" t="s">
        <v>165</v>
      </c>
      <c r="C7" s="553"/>
      <c r="D7" s="553"/>
      <c r="E7" s="553"/>
      <c r="F7" s="553"/>
      <c r="G7" s="211"/>
      <c r="H7" s="211"/>
      <c r="I7" s="211"/>
    </row>
    <row r="8" spans="2:9">
      <c r="B8" t="s">
        <v>168</v>
      </c>
    </row>
    <row r="9" spans="2:9">
      <c r="B9" t="s">
        <v>174</v>
      </c>
    </row>
    <row r="10" spans="2:9">
      <c r="B10" t="s">
        <v>169</v>
      </c>
    </row>
    <row r="11" spans="2:9">
      <c r="B11" t="s">
        <v>170</v>
      </c>
    </row>
    <row r="12" spans="2:9">
      <c r="B12" t="s">
        <v>171</v>
      </c>
    </row>
    <row r="13" spans="2:9">
      <c r="B13" t="s">
        <v>172</v>
      </c>
    </row>
    <row r="14" spans="2:9">
      <c r="B14" t="s">
        <v>173</v>
      </c>
    </row>
    <row r="15" spans="2:9">
      <c r="B15" t="s">
        <v>175</v>
      </c>
    </row>
    <row r="16" spans="2:9" ht="28.5" customHeight="1">
      <c r="B16" s="152" t="s">
        <v>25</v>
      </c>
      <c r="C16" s="152" t="s">
        <v>26</v>
      </c>
      <c r="D16" s="152" t="s">
        <v>89</v>
      </c>
    </row>
    <row r="17" spans="2:4" ht="15.95" customHeight="1">
      <c r="B17" s="152" t="s">
        <v>27</v>
      </c>
      <c r="C17" s="153" t="s">
        <v>18</v>
      </c>
      <c r="D17" s="153">
        <v>0.83199999999999996</v>
      </c>
    </row>
    <row r="18" spans="2:4" ht="15.95" customHeight="1">
      <c r="B18" s="152" t="s">
        <v>28</v>
      </c>
      <c r="C18" s="153" t="s">
        <v>18</v>
      </c>
      <c r="D18" s="153">
        <v>1.0999999999999999E-2</v>
      </c>
    </row>
    <row r="19" spans="2:4" ht="15.95" customHeight="1">
      <c r="B19" s="152" t="s">
        <v>29</v>
      </c>
      <c r="C19" s="153">
        <v>34.39</v>
      </c>
      <c r="D19" s="153">
        <v>0.20100000000000001</v>
      </c>
    </row>
    <row r="20" spans="2:4" ht="15.95" customHeight="1">
      <c r="B20" s="152" t="s">
        <v>30</v>
      </c>
      <c r="C20" s="153">
        <v>47.31</v>
      </c>
      <c r="D20" s="153">
        <v>0.22500000000000001</v>
      </c>
    </row>
    <row r="21" spans="2:4" ht="15.95" customHeight="1">
      <c r="B21" s="152" t="s">
        <v>31</v>
      </c>
      <c r="C21" s="153">
        <v>22.37</v>
      </c>
      <c r="D21" s="153">
        <v>0.34100000000000003</v>
      </c>
    </row>
    <row r="22" spans="2:4" ht="15.95" customHeight="1">
      <c r="B22" s="152" t="s">
        <v>32</v>
      </c>
      <c r="C22" s="153">
        <v>40.19</v>
      </c>
      <c r="D22" s="153">
        <v>0.27600000000000002</v>
      </c>
    </row>
    <row r="23" spans="2:4" ht="28.5" customHeight="1">
      <c r="B23" s="152" t="s">
        <v>33</v>
      </c>
      <c r="C23" s="153">
        <v>15</v>
      </c>
      <c r="D23" s="153">
        <v>0</v>
      </c>
    </row>
    <row r="24" spans="2:4" ht="15.95" customHeight="1">
      <c r="B24" s="152" t="s">
        <v>24</v>
      </c>
      <c r="C24" s="153">
        <v>44.8</v>
      </c>
      <c r="D24" s="153">
        <v>0.247</v>
      </c>
    </row>
    <row r="25" spans="2:4" ht="15.95" customHeight="1">
      <c r="B25" s="152" t="s">
        <v>34</v>
      </c>
      <c r="C25" s="153">
        <v>43.33</v>
      </c>
      <c r="D25" s="153">
        <v>0.26400000000000001</v>
      </c>
    </row>
    <row r="26" spans="2:4" ht="15.95" customHeight="1">
      <c r="B26" s="152" t="s">
        <v>35</v>
      </c>
      <c r="C26" s="153">
        <v>47.31</v>
      </c>
      <c r="D26" s="153">
        <v>0.22500000000000001</v>
      </c>
    </row>
    <row r="28" spans="2:4">
      <c r="B28" t="s">
        <v>140</v>
      </c>
    </row>
    <row r="29" spans="2:4">
      <c r="B29" s="178" t="s">
        <v>141</v>
      </c>
      <c r="C29" s="179">
        <f>1/3.6</f>
        <v>0.27777777777777779</v>
      </c>
      <c r="D29" s="179" t="s">
        <v>53</v>
      </c>
    </row>
    <row r="30" spans="2:4">
      <c r="B30" s="180" t="s">
        <v>142</v>
      </c>
      <c r="C30" s="181"/>
      <c r="D30" s="181"/>
    </row>
    <row r="31" spans="2:4">
      <c r="B31" s="178" t="s">
        <v>20</v>
      </c>
      <c r="C31" s="182">
        <v>0.84</v>
      </c>
      <c r="D31" s="179" t="s">
        <v>143</v>
      </c>
    </row>
    <row r="32" spans="2:4">
      <c r="B32" s="178" t="s">
        <v>78</v>
      </c>
      <c r="C32" s="183">
        <v>0.755</v>
      </c>
      <c r="D32" s="179" t="s">
        <v>143</v>
      </c>
    </row>
    <row r="33" spans="2:4">
      <c r="B33" s="178" t="s">
        <v>79</v>
      </c>
      <c r="C33" s="183">
        <v>0.5</v>
      </c>
      <c r="D33" s="179" t="s">
        <v>143</v>
      </c>
    </row>
    <row r="34" spans="2:4">
      <c r="B34" s="178" t="s">
        <v>16</v>
      </c>
      <c r="C34" s="183">
        <v>0.86</v>
      </c>
      <c r="D34" s="179" t="s">
        <v>143</v>
      </c>
    </row>
  </sheetData>
  <mergeCells count="2">
    <mergeCell ref="B6:G6"/>
    <mergeCell ref="B7:F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55"/>
  <sheetViews>
    <sheetView view="pageBreakPreview" topLeftCell="L1" zoomScale="110" zoomScaleSheetLayoutView="110" workbookViewId="0">
      <selection activeCell="A15" sqref="A15:XFD15"/>
    </sheetView>
  </sheetViews>
  <sheetFormatPr defaultColWidth="11.7109375" defaultRowHeight="12"/>
  <cols>
    <col min="1" max="1" width="4" style="1" customWidth="1"/>
    <col min="2" max="2" width="23.85546875" style="1" customWidth="1"/>
    <col min="3" max="3" width="18.42578125" style="1" customWidth="1"/>
    <col min="4" max="4" width="10.7109375" style="1" customWidth="1"/>
    <col min="5" max="5" width="9" style="1" customWidth="1"/>
    <col min="6" max="6" width="9.5703125" style="6" customWidth="1"/>
    <col min="7" max="40" width="10.7109375" style="1" customWidth="1"/>
    <col min="41" max="16384" width="11.7109375" style="1"/>
  </cols>
  <sheetData>
    <row r="1" spans="1:46">
      <c r="A1" s="567" t="s">
        <v>0</v>
      </c>
      <c r="B1" s="567" t="s">
        <v>1</v>
      </c>
      <c r="C1" s="563" t="s">
        <v>2</v>
      </c>
      <c r="D1" s="564" t="s">
        <v>11</v>
      </c>
      <c r="E1" s="564" t="s">
        <v>12</v>
      </c>
      <c r="F1" s="561" t="s">
        <v>3</v>
      </c>
      <c r="G1" s="563" t="s">
        <v>4</v>
      </c>
      <c r="H1" s="564"/>
      <c r="I1" s="564"/>
      <c r="J1" s="565"/>
      <c r="K1" s="566" t="s">
        <v>9</v>
      </c>
      <c r="L1" s="564"/>
      <c r="M1" s="564"/>
      <c r="N1" s="561"/>
      <c r="O1" s="563" t="s">
        <v>10</v>
      </c>
      <c r="P1" s="566"/>
      <c r="Q1" s="566"/>
      <c r="R1" s="564"/>
      <c r="S1" s="564"/>
      <c r="T1" s="565"/>
      <c r="U1" s="566" t="s">
        <v>55</v>
      </c>
      <c r="V1" s="566"/>
      <c r="W1" s="566"/>
      <c r="X1" s="564"/>
      <c r="Y1" s="564"/>
      <c r="Z1" s="561"/>
      <c r="AA1" s="563" t="s">
        <v>56</v>
      </c>
      <c r="AB1" s="566"/>
      <c r="AC1" s="566"/>
      <c r="AD1" s="564"/>
      <c r="AE1" s="564"/>
      <c r="AF1" s="561"/>
      <c r="AG1" s="563" t="s">
        <v>16</v>
      </c>
      <c r="AH1" s="566"/>
      <c r="AI1" s="566"/>
      <c r="AJ1" s="566"/>
      <c r="AK1" s="566"/>
      <c r="AL1" s="564"/>
      <c r="AM1" s="564"/>
      <c r="AN1" s="561"/>
      <c r="AO1" s="554" t="s">
        <v>84</v>
      </c>
      <c r="AP1" s="555"/>
      <c r="AQ1" s="555"/>
      <c r="AR1" s="555"/>
      <c r="AS1" s="555"/>
      <c r="AT1" s="556"/>
    </row>
    <row r="2" spans="1:46" ht="36.75" thickBot="1">
      <c r="A2" s="568"/>
      <c r="B2" s="568"/>
      <c r="C2" s="569"/>
      <c r="D2" s="570"/>
      <c r="E2" s="570"/>
      <c r="F2" s="562"/>
      <c r="G2" s="3" t="s">
        <v>5</v>
      </c>
      <c r="H2" s="11" t="s">
        <v>6</v>
      </c>
      <c r="I2" s="11" t="s">
        <v>7</v>
      </c>
      <c r="J2" s="12" t="s">
        <v>8</v>
      </c>
      <c r="K2" s="13" t="s">
        <v>13</v>
      </c>
      <c r="L2" s="11" t="s">
        <v>6</v>
      </c>
      <c r="M2" s="11" t="s">
        <v>7</v>
      </c>
      <c r="N2" s="14" t="s">
        <v>8</v>
      </c>
      <c r="O2" s="3" t="s">
        <v>14</v>
      </c>
      <c r="P2" s="13" t="s">
        <v>54</v>
      </c>
      <c r="Q2" s="13" t="s">
        <v>41</v>
      </c>
      <c r="R2" s="11" t="s">
        <v>6</v>
      </c>
      <c r="S2" s="11" t="s">
        <v>7</v>
      </c>
      <c r="T2" s="12" t="s">
        <v>8</v>
      </c>
      <c r="U2" s="13" t="s">
        <v>15</v>
      </c>
      <c r="V2" s="13" t="s">
        <v>26</v>
      </c>
      <c r="W2" s="13" t="s">
        <v>41</v>
      </c>
      <c r="X2" s="11" t="s">
        <v>6</v>
      </c>
      <c r="Y2" s="11" t="s">
        <v>7</v>
      </c>
      <c r="Z2" s="14" t="s">
        <v>8</v>
      </c>
      <c r="AA2" s="3" t="s">
        <v>15</v>
      </c>
      <c r="AB2" s="13" t="s">
        <v>26</v>
      </c>
      <c r="AC2" s="13" t="s">
        <v>41</v>
      </c>
      <c r="AD2" s="11" t="s">
        <v>6</v>
      </c>
      <c r="AE2" s="11" t="s">
        <v>7</v>
      </c>
      <c r="AF2" s="14" t="s">
        <v>8</v>
      </c>
      <c r="AG2" s="3" t="s">
        <v>14</v>
      </c>
      <c r="AH2" s="13" t="s">
        <v>57</v>
      </c>
      <c r="AI2" s="13" t="s">
        <v>15</v>
      </c>
      <c r="AJ2" s="13" t="s">
        <v>26</v>
      </c>
      <c r="AK2" s="13" t="s">
        <v>41</v>
      </c>
      <c r="AL2" s="11" t="s">
        <v>6</v>
      </c>
      <c r="AM2" s="11" t="s">
        <v>7</v>
      </c>
      <c r="AN2" s="14" t="s">
        <v>8</v>
      </c>
      <c r="AO2" s="3" t="s">
        <v>15</v>
      </c>
      <c r="AP2" s="13" t="s">
        <v>26</v>
      </c>
      <c r="AQ2" s="13" t="s">
        <v>41</v>
      </c>
      <c r="AR2" s="11" t="s">
        <v>6</v>
      </c>
      <c r="AS2" s="11" t="s">
        <v>7</v>
      </c>
      <c r="AT2" s="12" t="s">
        <v>8</v>
      </c>
    </row>
    <row r="3" spans="1:46" ht="24">
      <c r="A3" s="9">
        <v>1</v>
      </c>
      <c r="B3" s="175" t="s">
        <v>151</v>
      </c>
      <c r="C3" s="166" t="s">
        <v>130</v>
      </c>
      <c r="D3" s="111">
        <v>731</v>
      </c>
      <c r="E3" s="111">
        <v>2483</v>
      </c>
      <c r="F3" s="21">
        <v>1982</v>
      </c>
      <c r="G3" s="259">
        <v>63458</v>
      </c>
      <c r="H3" s="260">
        <f t="shared" ref="H3:H10" si="0">G3/1000</f>
        <v>63.457999999999998</v>
      </c>
      <c r="I3" s="261">
        <f>'1.Metodologia'!$D$17</f>
        <v>0.83199999999999996</v>
      </c>
      <c r="J3" s="262">
        <f t="shared" ref="J3:J10" si="1">H3*I3</f>
        <v>52.797055999999998</v>
      </c>
      <c r="K3" s="55">
        <v>0</v>
      </c>
      <c r="L3" s="52">
        <f t="shared" ref="L3:L10" si="2">K3/3.6</f>
        <v>0</v>
      </c>
      <c r="M3" s="53">
        <f>'1.Metodologia'!$D$18</f>
        <v>1.0999999999999999E-2</v>
      </c>
      <c r="N3" s="54">
        <f t="shared" ref="N3:N10" si="3">L3*M3</f>
        <v>0</v>
      </c>
      <c r="O3" s="56">
        <v>0</v>
      </c>
      <c r="P3" s="51">
        <f>'1.Metodologia'!$C$19</f>
        <v>34.39</v>
      </c>
      <c r="Q3" s="51">
        <f t="shared" ref="Q3:Q10" si="4">O3*P3</f>
        <v>0</v>
      </c>
      <c r="R3" s="52">
        <f t="shared" ref="R3:R10" si="5">Q3/1000/3.6</f>
        <v>0</v>
      </c>
      <c r="S3" s="53">
        <f>'1.Metodologia'!$D$19</f>
        <v>0.20100000000000001</v>
      </c>
      <c r="T3" s="50">
        <f t="shared" ref="T3:T10" si="6">R3*S3</f>
        <v>0</v>
      </c>
      <c r="U3" s="55">
        <v>0</v>
      </c>
      <c r="V3" s="51">
        <f>'1.Metodologia'!$C$21</f>
        <v>22.37</v>
      </c>
      <c r="W3" s="51">
        <f t="shared" ref="W3:W10" si="7">U3*V3</f>
        <v>0</v>
      </c>
      <c r="X3" s="52">
        <f t="shared" ref="X3:X10" si="8">W3/1000/3.6</f>
        <v>0</v>
      </c>
      <c r="Y3" s="53">
        <f>'1.Metodologia'!$D$21</f>
        <v>0.34100000000000003</v>
      </c>
      <c r="Z3" s="54">
        <f t="shared" ref="Z3:Z10" si="9">X3*Y3</f>
        <v>0</v>
      </c>
      <c r="AA3" s="56">
        <v>0</v>
      </c>
      <c r="AB3" s="51">
        <f>'1.Metodologia'!$C$20</f>
        <v>47.31</v>
      </c>
      <c r="AC3" s="51">
        <f t="shared" ref="AC3:AC10" si="10">AA3*AB3</f>
        <v>0</v>
      </c>
      <c r="AD3" s="52">
        <f t="shared" ref="AD3:AD10" si="11">AC3/1000/3.6</f>
        <v>0</v>
      </c>
      <c r="AE3" s="53">
        <f>'1.Metodologia'!$D$20</f>
        <v>0.22500000000000001</v>
      </c>
      <c r="AF3" s="54">
        <f t="shared" ref="AF3:AF10" si="12">AD3*AE3</f>
        <v>0</v>
      </c>
      <c r="AG3" s="259">
        <v>19.872</v>
      </c>
      <c r="AH3" s="267">
        <v>860</v>
      </c>
      <c r="AI3" s="269">
        <f t="shared" ref="AI3:AI10" si="13">AG3*AH3</f>
        <v>17089.919999999998</v>
      </c>
      <c r="AJ3" s="269">
        <f>'1.Metodologia'!$C$22</f>
        <v>40.19</v>
      </c>
      <c r="AK3" s="269">
        <f t="shared" ref="AK3:AK10" si="14">AI3*AJ3</f>
        <v>686843.88479999988</v>
      </c>
      <c r="AL3" s="265">
        <f t="shared" ref="AL3:AL10" si="15">AK3/1000/3.6</f>
        <v>190.78996799999996</v>
      </c>
      <c r="AM3" s="266">
        <f>'1.Metodologia'!$D$22</f>
        <v>0.27600000000000002</v>
      </c>
      <c r="AN3" s="268">
        <f t="shared" ref="AN3:AN10" si="16">AL3*AM3</f>
        <v>52.658031167999994</v>
      </c>
      <c r="AO3" s="56">
        <v>0</v>
      </c>
      <c r="AP3" s="51">
        <f>'1.Metodologia'!$C$23</f>
        <v>15</v>
      </c>
      <c r="AQ3" s="51">
        <f t="shared" ref="AQ3:AQ15" si="17">AO3*AP3</f>
        <v>0</v>
      </c>
      <c r="AR3" s="107">
        <f t="shared" ref="AR3:AR15" si="18">AQ3/1000/3.6</f>
        <v>0</v>
      </c>
      <c r="AS3" s="108">
        <f>'1.Metodologia'!$D$23</f>
        <v>0</v>
      </c>
      <c r="AT3" s="59">
        <f t="shared" ref="AT3:AT15" si="19">AR3*AS3</f>
        <v>0</v>
      </c>
    </row>
    <row r="4" spans="1:46" ht="24">
      <c r="A4" s="9">
        <v>2</v>
      </c>
      <c r="B4" s="175" t="s">
        <v>119</v>
      </c>
      <c r="C4" s="166" t="s">
        <v>120</v>
      </c>
      <c r="D4" s="111">
        <v>436.36</v>
      </c>
      <c r="E4" s="111">
        <v>3702</v>
      </c>
      <c r="F4" s="158">
        <v>1971</v>
      </c>
      <c r="G4" s="259">
        <v>3366</v>
      </c>
      <c r="H4" s="260">
        <f t="shared" si="0"/>
        <v>3.3660000000000001</v>
      </c>
      <c r="I4" s="261">
        <f>'1.Metodologia'!$D$17</f>
        <v>0.83199999999999996</v>
      </c>
      <c r="J4" s="262">
        <f t="shared" si="1"/>
        <v>2.8005119999999999</v>
      </c>
      <c r="K4" s="267">
        <v>26.311</v>
      </c>
      <c r="L4" s="265">
        <f t="shared" si="2"/>
        <v>7.3086111111111105</v>
      </c>
      <c r="M4" s="266">
        <f>'1.Metodologia'!$D$18</f>
        <v>1.0999999999999999E-2</v>
      </c>
      <c r="N4" s="268">
        <f t="shared" si="3"/>
        <v>8.0394722222222215E-2</v>
      </c>
      <c r="O4" s="56">
        <v>0</v>
      </c>
      <c r="P4" s="51">
        <f>'1.Metodologia'!$C$19</f>
        <v>34.39</v>
      </c>
      <c r="Q4" s="51">
        <f t="shared" si="4"/>
        <v>0</v>
      </c>
      <c r="R4" s="52">
        <f t="shared" si="5"/>
        <v>0</v>
      </c>
      <c r="S4" s="53">
        <f>'1.Metodologia'!$D$19</f>
        <v>0.20100000000000001</v>
      </c>
      <c r="T4" s="50">
        <f t="shared" si="6"/>
        <v>0</v>
      </c>
      <c r="U4" s="55">
        <v>0</v>
      </c>
      <c r="V4" s="51">
        <f>'1.Metodologia'!$C$21</f>
        <v>22.37</v>
      </c>
      <c r="W4" s="51">
        <f t="shared" si="7"/>
        <v>0</v>
      </c>
      <c r="X4" s="52">
        <f t="shared" si="8"/>
        <v>0</v>
      </c>
      <c r="Y4" s="53">
        <f>'1.Metodologia'!$D$21</f>
        <v>0.34100000000000003</v>
      </c>
      <c r="Z4" s="54">
        <f t="shared" si="9"/>
        <v>0</v>
      </c>
      <c r="AA4" s="56">
        <v>0</v>
      </c>
      <c r="AB4" s="51">
        <f>'1.Metodologia'!$C$20</f>
        <v>47.31</v>
      </c>
      <c r="AC4" s="51">
        <f t="shared" si="10"/>
        <v>0</v>
      </c>
      <c r="AD4" s="52">
        <f t="shared" si="11"/>
        <v>0</v>
      </c>
      <c r="AE4" s="53">
        <f>'1.Metodologia'!$D$20</f>
        <v>0.22500000000000001</v>
      </c>
      <c r="AF4" s="54">
        <f t="shared" si="12"/>
        <v>0</v>
      </c>
      <c r="AG4" s="56">
        <v>0</v>
      </c>
      <c r="AH4" s="55">
        <v>860</v>
      </c>
      <c r="AI4" s="51">
        <f t="shared" si="13"/>
        <v>0</v>
      </c>
      <c r="AJ4" s="51">
        <f>'1.Metodologia'!$C$22</f>
        <v>40.19</v>
      </c>
      <c r="AK4" s="51">
        <f t="shared" si="14"/>
        <v>0</v>
      </c>
      <c r="AL4" s="52">
        <f t="shared" si="15"/>
        <v>0</v>
      </c>
      <c r="AM4" s="53">
        <f>'1.Metodologia'!$D$22</f>
        <v>0.27600000000000002</v>
      </c>
      <c r="AN4" s="54">
        <f t="shared" si="16"/>
        <v>0</v>
      </c>
      <c r="AO4" s="56">
        <v>0</v>
      </c>
      <c r="AP4" s="51">
        <f>'1.Metodologia'!$C$23</f>
        <v>15</v>
      </c>
      <c r="AQ4" s="51">
        <f t="shared" si="17"/>
        <v>0</v>
      </c>
      <c r="AR4" s="107">
        <f t="shared" si="18"/>
        <v>0</v>
      </c>
      <c r="AS4" s="108">
        <f>'1.Metodologia'!$D$23</f>
        <v>0</v>
      </c>
      <c r="AT4" s="59">
        <f t="shared" si="19"/>
        <v>0</v>
      </c>
    </row>
    <row r="5" spans="1:46" ht="24">
      <c r="A5" s="9">
        <v>3</v>
      </c>
      <c r="B5" s="175" t="s">
        <v>128</v>
      </c>
      <c r="C5" s="166" t="s">
        <v>129</v>
      </c>
      <c r="D5" s="111">
        <v>310.62</v>
      </c>
      <c r="E5" s="111">
        <v>1844</v>
      </c>
      <c r="F5" s="158">
        <v>1926</v>
      </c>
      <c r="G5" s="259">
        <v>37584</v>
      </c>
      <c r="H5" s="260">
        <f t="shared" si="0"/>
        <v>37.584000000000003</v>
      </c>
      <c r="I5" s="261">
        <f>'1.Metodologia'!$D$17</f>
        <v>0.83199999999999996</v>
      </c>
      <c r="J5" s="262">
        <f t="shared" si="1"/>
        <v>31.269888000000002</v>
      </c>
      <c r="K5" s="55">
        <v>0</v>
      </c>
      <c r="L5" s="52">
        <f t="shared" si="2"/>
        <v>0</v>
      </c>
      <c r="M5" s="53">
        <f>'1.Metodologia'!$D$18</f>
        <v>1.0999999999999999E-2</v>
      </c>
      <c r="N5" s="54">
        <f t="shared" si="3"/>
        <v>0</v>
      </c>
      <c r="O5" s="56">
        <v>0</v>
      </c>
      <c r="P5" s="51">
        <f>'1.Metodologia'!$C$19</f>
        <v>34.39</v>
      </c>
      <c r="Q5" s="51">
        <f t="shared" si="4"/>
        <v>0</v>
      </c>
      <c r="R5" s="52">
        <f t="shared" si="5"/>
        <v>0</v>
      </c>
      <c r="S5" s="53">
        <f>'1.Metodologia'!$D$19</f>
        <v>0.20100000000000001</v>
      </c>
      <c r="T5" s="50">
        <f t="shared" si="6"/>
        <v>0</v>
      </c>
      <c r="U5" s="55">
        <v>0</v>
      </c>
      <c r="V5" s="51">
        <f>'1.Metodologia'!$C$21</f>
        <v>22.37</v>
      </c>
      <c r="W5" s="51">
        <f t="shared" si="7"/>
        <v>0</v>
      </c>
      <c r="X5" s="52">
        <f t="shared" si="8"/>
        <v>0</v>
      </c>
      <c r="Y5" s="53">
        <f>'1.Metodologia'!$D$21</f>
        <v>0.34100000000000003</v>
      </c>
      <c r="Z5" s="54">
        <f t="shared" si="9"/>
        <v>0</v>
      </c>
      <c r="AA5" s="56">
        <v>0</v>
      </c>
      <c r="AB5" s="51">
        <f>'1.Metodologia'!$C$20</f>
        <v>47.31</v>
      </c>
      <c r="AC5" s="51">
        <f t="shared" si="10"/>
        <v>0</v>
      </c>
      <c r="AD5" s="52">
        <f t="shared" si="11"/>
        <v>0</v>
      </c>
      <c r="AE5" s="53">
        <f>'1.Metodologia'!$D$20</f>
        <v>0.22500000000000001</v>
      </c>
      <c r="AF5" s="54">
        <f t="shared" si="12"/>
        <v>0</v>
      </c>
      <c r="AG5" s="56">
        <v>0</v>
      </c>
      <c r="AH5" s="55">
        <v>860</v>
      </c>
      <c r="AI5" s="51">
        <f t="shared" si="13"/>
        <v>0</v>
      </c>
      <c r="AJ5" s="51">
        <f>'1.Metodologia'!$C$22</f>
        <v>40.19</v>
      </c>
      <c r="AK5" s="51">
        <f t="shared" si="14"/>
        <v>0</v>
      </c>
      <c r="AL5" s="52">
        <f t="shared" si="15"/>
        <v>0</v>
      </c>
      <c r="AM5" s="53">
        <f>'1.Metodologia'!$D$22</f>
        <v>0.27600000000000002</v>
      </c>
      <c r="AN5" s="54">
        <f t="shared" si="16"/>
        <v>0</v>
      </c>
      <c r="AO5" s="56">
        <v>0</v>
      </c>
      <c r="AP5" s="51">
        <f>'1.Metodologia'!$C$23</f>
        <v>15</v>
      </c>
      <c r="AQ5" s="51">
        <f t="shared" si="17"/>
        <v>0</v>
      </c>
      <c r="AR5" s="107">
        <f t="shared" si="18"/>
        <v>0</v>
      </c>
      <c r="AS5" s="108">
        <f>'1.Metodologia'!$D$23</f>
        <v>0</v>
      </c>
      <c r="AT5" s="59">
        <f t="shared" si="19"/>
        <v>0</v>
      </c>
    </row>
    <row r="6" spans="1:46" ht="24">
      <c r="A6" s="9">
        <v>4</v>
      </c>
      <c r="B6" s="175" t="s">
        <v>125</v>
      </c>
      <c r="C6" s="166" t="s">
        <v>126</v>
      </c>
      <c r="D6" s="111">
        <v>324</v>
      </c>
      <c r="E6" s="557">
        <v>5691.2</v>
      </c>
      <c r="F6" s="559">
        <v>1976</v>
      </c>
      <c r="G6" s="259">
        <v>3220</v>
      </c>
      <c r="H6" s="260">
        <f t="shared" si="0"/>
        <v>3.22</v>
      </c>
      <c r="I6" s="261">
        <f>'1.Metodologia'!$D$17</f>
        <v>0.83199999999999996</v>
      </c>
      <c r="J6" s="262">
        <f t="shared" si="1"/>
        <v>2.6790400000000001</v>
      </c>
      <c r="K6" s="267">
        <v>167</v>
      </c>
      <c r="L6" s="265">
        <f t="shared" si="2"/>
        <v>46.388888888888886</v>
      </c>
      <c r="M6" s="266">
        <f>'1.Metodologia'!$D$18</f>
        <v>1.0999999999999999E-2</v>
      </c>
      <c r="N6" s="268">
        <f t="shared" si="3"/>
        <v>0.51027777777777772</v>
      </c>
      <c r="O6" s="56">
        <v>0</v>
      </c>
      <c r="P6" s="51">
        <f>'1.Metodologia'!$C$19</f>
        <v>34.39</v>
      </c>
      <c r="Q6" s="51">
        <f t="shared" si="4"/>
        <v>0</v>
      </c>
      <c r="R6" s="52">
        <f t="shared" si="5"/>
        <v>0</v>
      </c>
      <c r="S6" s="53">
        <f>'1.Metodologia'!$D$19</f>
        <v>0.20100000000000001</v>
      </c>
      <c r="T6" s="50">
        <f t="shared" si="6"/>
        <v>0</v>
      </c>
      <c r="U6" s="55">
        <v>0</v>
      </c>
      <c r="V6" s="51">
        <f>'1.Metodologia'!$C$21</f>
        <v>22.37</v>
      </c>
      <c r="W6" s="51">
        <f t="shared" si="7"/>
        <v>0</v>
      </c>
      <c r="X6" s="52">
        <f t="shared" si="8"/>
        <v>0</v>
      </c>
      <c r="Y6" s="53">
        <f>'1.Metodologia'!$D$21</f>
        <v>0.34100000000000003</v>
      </c>
      <c r="Z6" s="54">
        <f t="shared" si="9"/>
        <v>0</v>
      </c>
      <c r="AA6" s="56">
        <v>0</v>
      </c>
      <c r="AB6" s="51">
        <f>'1.Metodologia'!$C$20</f>
        <v>47.31</v>
      </c>
      <c r="AC6" s="51">
        <f t="shared" si="10"/>
        <v>0</v>
      </c>
      <c r="AD6" s="52">
        <f t="shared" si="11"/>
        <v>0</v>
      </c>
      <c r="AE6" s="53">
        <f>'1.Metodologia'!$D$20</f>
        <v>0.22500000000000001</v>
      </c>
      <c r="AF6" s="54">
        <f t="shared" si="12"/>
        <v>0</v>
      </c>
      <c r="AG6" s="56">
        <v>0</v>
      </c>
      <c r="AH6" s="55">
        <v>860</v>
      </c>
      <c r="AI6" s="51">
        <f t="shared" si="13"/>
        <v>0</v>
      </c>
      <c r="AJ6" s="51">
        <f>'1.Metodologia'!$C$22</f>
        <v>40.19</v>
      </c>
      <c r="AK6" s="51">
        <f t="shared" si="14"/>
        <v>0</v>
      </c>
      <c r="AL6" s="52">
        <f t="shared" si="15"/>
        <v>0</v>
      </c>
      <c r="AM6" s="53">
        <f>'1.Metodologia'!$D$22</f>
        <v>0.27600000000000002</v>
      </c>
      <c r="AN6" s="54">
        <f t="shared" si="16"/>
        <v>0</v>
      </c>
      <c r="AO6" s="56">
        <v>0</v>
      </c>
      <c r="AP6" s="51">
        <f>'1.Metodologia'!$C$23</f>
        <v>15</v>
      </c>
      <c r="AQ6" s="51">
        <f t="shared" si="17"/>
        <v>0</v>
      </c>
      <c r="AR6" s="107">
        <f t="shared" si="18"/>
        <v>0</v>
      </c>
      <c r="AS6" s="108">
        <f>'1.Metodologia'!$D$23</f>
        <v>0</v>
      </c>
      <c r="AT6" s="59">
        <f t="shared" si="19"/>
        <v>0</v>
      </c>
    </row>
    <row r="7" spans="1:46" ht="24">
      <c r="A7" s="9">
        <v>5</v>
      </c>
      <c r="B7" s="175" t="s">
        <v>127</v>
      </c>
      <c r="C7" s="166" t="s">
        <v>126</v>
      </c>
      <c r="D7" s="111">
        <v>480</v>
      </c>
      <c r="E7" s="558"/>
      <c r="F7" s="560"/>
      <c r="G7" s="259">
        <v>6766</v>
      </c>
      <c r="H7" s="260">
        <f t="shared" si="0"/>
        <v>6.766</v>
      </c>
      <c r="I7" s="261">
        <f>'1.Metodologia'!$D$17</f>
        <v>0.83199999999999996</v>
      </c>
      <c r="J7" s="262">
        <f t="shared" si="1"/>
        <v>5.6293119999999996</v>
      </c>
      <c r="K7" s="267">
        <v>229</v>
      </c>
      <c r="L7" s="265">
        <f t="shared" si="2"/>
        <v>63.611111111111107</v>
      </c>
      <c r="M7" s="266">
        <f>'1.Metodologia'!$D$18</f>
        <v>1.0999999999999999E-2</v>
      </c>
      <c r="N7" s="268">
        <f t="shared" si="3"/>
        <v>0.69972222222222213</v>
      </c>
      <c r="O7" s="56">
        <v>0</v>
      </c>
      <c r="P7" s="51">
        <f>'1.Metodologia'!$C$19</f>
        <v>34.39</v>
      </c>
      <c r="Q7" s="51">
        <f t="shared" si="4"/>
        <v>0</v>
      </c>
      <c r="R7" s="52">
        <f t="shared" si="5"/>
        <v>0</v>
      </c>
      <c r="S7" s="53">
        <f>'1.Metodologia'!$D$19</f>
        <v>0.20100000000000001</v>
      </c>
      <c r="T7" s="50">
        <f t="shared" si="6"/>
        <v>0</v>
      </c>
      <c r="U7" s="55">
        <v>0</v>
      </c>
      <c r="V7" s="51">
        <f>'1.Metodologia'!$C$21</f>
        <v>22.37</v>
      </c>
      <c r="W7" s="51">
        <f t="shared" si="7"/>
        <v>0</v>
      </c>
      <c r="X7" s="52">
        <f t="shared" si="8"/>
        <v>0</v>
      </c>
      <c r="Y7" s="53">
        <f>'1.Metodologia'!$D$21</f>
        <v>0.34100000000000003</v>
      </c>
      <c r="Z7" s="54">
        <f t="shared" si="9"/>
        <v>0</v>
      </c>
      <c r="AA7" s="56">
        <v>0</v>
      </c>
      <c r="AB7" s="51">
        <f>'1.Metodologia'!$C$20</f>
        <v>47.31</v>
      </c>
      <c r="AC7" s="51">
        <f t="shared" si="10"/>
        <v>0</v>
      </c>
      <c r="AD7" s="52">
        <f t="shared" si="11"/>
        <v>0</v>
      </c>
      <c r="AE7" s="53">
        <f>'1.Metodologia'!$D$20</f>
        <v>0.22500000000000001</v>
      </c>
      <c r="AF7" s="54">
        <f t="shared" si="12"/>
        <v>0</v>
      </c>
      <c r="AG7" s="56">
        <v>0</v>
      </c>
      <c r="AH7" s="55">
        <v>860</v>
      </c>
      <c r="AI7" s="51">
        <f t="shared" si="13"/>
        <v>0</v>
      </c>
      <c r="AJ7" s="51">
        <f>'1.Metodologia'!$C$22</f>
        <v>40.19</v>
      </c>
      <c r="AK7" s="51">
        <f t="shared" si="14"/>
        <v>0</v>
      </c>
      <c r="AL7" s="52">
        <f t="shared" si="15"/>
        <v>0</v>
      </c>
      <c r="AM7" s="53">
        <f>'1.Metodologia'!$D$22</f>
        <v>0.27600000000000002</v>
      </c>
      <c r="AN7" s="54">
        <f t="shared" si="16"/>
        <v>0</v>
      </c>
      <c r="AO7" s="56">
        <v>0</v>
      </c>
      <c r="AP7" s="51">
        <f>'1.Metodologia'!$C$23</f>
        <v>15</v>
      </c>
      <c r="AQ7" s="51">
        <f t="shared" si="17"/>
        <v>0</v>
      </c>
      <c r="AR7" s="107">
        <f t="shared" si="18"/>
        <v>0</v>
      </c>
      <c r="AS7" s="108">
        <f>'1.Metodologia'!$D$23</f>
        <v>0</v>
      </c>
      <c r="AT7" s="59">
        <f t="shared" si="19"/>
        <v>0</v>
      </c>
    </row>
    <row r="8" spans="1:46" ht="24">
      <c r="A8" s="9">
        <v>6</v>
      </c>
      <c r="B8" s="175" t="s">
        <v>109</v>
      </c>
      <c r="C8" s="166" t="s">
        <v>110</v>
      </c>
      <c r="D8" s="111">
        <v>1882</v>
      </c>
      <c r="E8" s="111">
        <v>8558.6</v>
      </c>
      <c r="F8" s="21">
        <v>1987</v>
      </c>
      <c r="G8" s="263">
        <v>25195</v>
      </c>
      <c r="H8" s="260">
        <f t="shared" si="0"/>
        <v>25.195</v>
      </c>
      <c r="I8" s="261">
        <f>'1.Metodologia'!$D$17</f>
        <v>0.83199999999999996</v>
      </c>
      <c r="J8" s="262">
        <f t="shared" si="1"/>
        <v>20.962239999999998</v>
      </c>
      <c r="K8" s="267">
        <v>497</v>
      </c>
      <c r="L8" s="265">
        <f t="shared" si="2"/>
        <v>138.05555555555554</v>
      </c>
      <c r="M8" s="266">
        <f>'1.Metodologia'!$D$18</f>
        <v>1.0999999999999999E-2</v>
      </c>
      <c r="N8" s="268">
        <f t="shared" si="3"/>
        <v>1.5186111111111109</v>
      </c>
      <c r="O8" s="56">
        <v>0</v>
      </c>
      <c r="P8" s="51">
        <f>'1.Metodologia'!$C$19</f>
        <v>34.39</v>
      </c>
      <c r="Q8" s="51">
        <f t="shared" si="4"/>
        <v>0</v>
      </c>
      <c r="R8" s="52">
        <f t="shared" si="5"/>
        <v>0</v>
      </c>
      <c r="S8" s="53">
        <f>'1.Metodologia'!$D$19</f>
        <v>0.20100000000000001</v>
      </c>
      <c r="T8" s="50">
        <f t="shared" si="6"/>
        <v>0</v>
      </c>
      <c r="U8" s="55">
        <v>0</v>
      </c>
      <c r="V8" s="51">
        <f>'1.Metodologia'!$C$21</f>
        <v>22.37</v>
      </c>
      <c r="W8" s="51">
        <f t="shared" si="7"/>
        <v>0</v>
      </c>
      <c r="X8" s="52">
        <f t="shared" si="8"/>
        <v>0</v>
      </c>
      <c r="Y8" s="53">
        <f>'1.Metodologia'!$D$21</f>
        <v>0.34100000000000003</v>
      </c>
      <c r="Z8" s="54">
        <f t="shared" si="9"/>
        <v>0</v>
      </c>
      <c r="AA8" s="56">
        <v>0</v>
      </c>
      <c r="AB8" s="51">
        <f>'1.Metodologia'!$C$20</f>
        <v>47.31</v>
      </c>
      <c r="AC8" s="51">
        <f t="shared" si="10"/>
        <v>0</v>
      </c>
      <c r="AD8" s="52">
        <f t="shared" si="11"/>
        <v>0</v>
      </c>
      <c r="AE8" s="53">
        <f>'1.Metodologia'!$D$20</f>
        <v>0.22500000000000001</v>
      </c>
      <c r="AF8" s="54">
        <f t="shared" si="12"/>
        <v>0</v>
      </c>
      <c r="AG8" s="56">
        <v>0</v>
      </c>
      <c r="AH8" s="55">
        <v>860</v>
      </c>
      <c r="AI8" s="51">
        <f t="shared" si="13"/>
        <v>0</v>
      </c>
      <c r="AJ8" s="51">
        <f>'1.Metodologia'!$C$22</f>
        <v>40.19</v>
      </c>
      <c r="AK8" s="51">
        <f t="shared" si="14"/>
        <v>0</v>
      </c>
      <c r="AL8" s="52">
        <f t="shared" si="15"/>
        <v>0</v>
      </c>
      <c r="AM8" s="53">
        <f>'1.Metodologia'!$D$22</f>
        <v>0.27600000000000002</v>
      </c>
      <c r="AN8" s="54">
        <f t="shared" si="16"/>
        <v>0</v>
      </c>
      <c r="AO8" s="56">
        <v>0</v>
      </c>
      <c r="AP8" s="51">
        <f>'1.Metodologia'!$C$23</f>
        <v>15</v>
      </c>
      <c r="AQ8" s="51">
        <f t="shared" si="17"/>
        <v>0</v>
      </c>
      <c r="AR8" s="107">
        <f t="shared" si="18"/>
        <v>0</v>
      </c>
      <c r="AS8" s="108">
        <f>'1.Metodologia'!$D$23</f>
        <v>0</v>
      </c>
      <c r="AT8" s="59">
        <f t="shared" si="19"/>
        <v>0</v>
      </c>
    </row>
    <row r="9" spans="1:46" ht="36">
      <c r="A9" s="9">
        <v>7</v>
      </c>
      <c r="B9" s="175" t="s">
        <v>123</v>
      </c>
      <c r="C9" s="166" t="s">
        <v>124</v>
      </c>
      <c r="D9" s="111">
        <v>1825</v>
      </c>
      <c r="E9" s="111">
        <v>11266</v>
      </c>
      <c r="F9" s="158">
        <v>1972</v>
      </c>
      <c r="G9" s="259">
        <v>23133</v>
      </c>
      <c r="H9" s="260">
        <f t="shared" si="0"/>
        <v>23.132999999999999</v>
      </c>
      <c r="I9" s="261">
        <f>'1.Metodologia'!$D$17</f>
        <v>0.83199999999999996</v>
      </c>
      <c r="J9" s="262">
        <f t="shared" si="1"/>
        <v>19.246655999999998</v>
      </c>
      <c r="K9" s="267">
        <v>568.26</v>
      </c>
      <c r="L9" s="265">
        <f t="shared" si="2"/>
        <v>157.85</v>
      </c>
      <c r="M9" s="266">
        <f>'1.Metodologia'!$D$18</f>
        <v>1.0999999999999999E-2</v>
      </c>
      <c r="N9" s="268">
        <f t="shared" si="3"/>
        <v>1.7363499999999998</v>
      </c>
      <c r="O9" s="56">
        <v>0</v>
      </c>
      <c r="P9" s="51">
        <f>'1.Metodologia'!$C$19</f>
        <v>34.39</v>
      </c>
      <c r="Q9" s="51">
        <f t="shared" si="4"/>
        <v>0</v>
      </c>
      <c r="R9" s="52">
        <f t="shared" si="5"/>
        <v>0</v>
      </c>
      <c r="S9" s="53">
        <f>'1.Metodologia'!$D$19</f>
        <v>0.20100000000000001</v>
      </c>
      <c r="T9" s="50">
        <f t="shared" si="6"/>
        <v>0</v>
      </c>
      <c r="U9" s="55">
        <v>0</v>
      </c>
      <c r="V9" s="51">
        <f>'1.Metodologia'!$C$21</f>
        <v>22.37</v>
      </c>
      <c r="W9" s="51">
        <f t="shared" si="7"/>
        <v>0</v>
      </c>
      <c r="X9" s="52">
        <f t="shared" si="8"/>
        <v>0</v>
      </c>
      <c r="Y9" s="53">
        <f>'1.Metodologia'!$D$21</f>
        <v>0.34100000000000003</v>
      </c>
      <c r="Z9" s="54">
        <f t="shared" si="9"/>
        <v>0</v>
      </c>
      <c r="AA9" s="56">
        <v>0</v>
      </c>
      <c r="AB9" s="51">
        <f>'1.Metodologia'!$C$20</f>
        <v>47.31</v>
      </c>
      <c r="AC9" s="51">
        <f t="shared" si="10"/>
        <v>0</v>
      </c>
      <c r="AD9" s="52">
        <f t="shared" si="11"/>
        <v>0</v>
      </c>
      <c r="AE9" s="53">
        <f>'1.Metodologia'!$D$20</f>
        <v>0.22500000000000001</v>
      </c>
      <c r="AF9" s="54">
        <f t="shared" si="12"/>
        <v>0</v>
      </c>
      <c r="AG9" s="56">
        <v>0</v>
      </c>
      <c r="AH9" s="55">
        <v>860</v>
      </c>
      <c r="AI9" s="51">
        <f t="shared" si="13"/>
        <v>0</v>
      </c>
      <c r="AJ9" s="51">
        <f>'1.Metodologia'!$C$22</f>
        <v>40.19</v>
      </c>
      <c r="AK9" s="51">
        <f t="shared" si="14"/>
        <v>0</v>
      </c>
      <c r="AL9" s="52">
        <f t="shared" si="15"/>
        <v>0</v>
      </c>
      <c r="AM9" s="53">
        <f>'1.Metodologia'!$D$22</f>
        <v>0.27600000000000002</v>
      </c>
      <c r="AN9" s="54">
        <f t="shared" si="16"/>
        <v>0</v>
      </c>
      <c r="AO9" s="56">
        <v>0</v>
      </c>
      <c r="AP9" s="51">
        <f>'1.Metodologia'!$C$23</f>
        <v>15</v>
      </c>
      <c r="AQ9" s="51">
        <f t="shared" si="17"/>
        <v>0</v>
      </c>
      <c r="AR9" s="107">
        <f t="shared" si="18"/>
        <v>0</v>
      </c>
      <c r="AS9" s="108">
        <f>'1.Metodologia'!$D$23</f>
        <v>0</v>
      </c>
      <c r="AT9" s="59">
        <f t="shared" si="19"/>
        <v>0</v>
      </c>
    </row>
    <row r="10" spans="1:46" ht="36">
      <c r="A10" s="10">
        <v>8</v>
      </c>
      <c r="B10" s="174" t="s">
        <v>104</v>
      </c>
      <c r="C10" s="162" t="s">
        <v>105</v>
      </c>
      <c r="D10" s="163">
        <v>608</v>
      </c>
      <c r="E10" s="163">
        <v>4640</v>
      </c>
      <c r="F10" s="164">
        <v>1969</v>
      </c>
      <c r="G10" s="264">
        <v>6290</v>
      </c>
      <c r="H10" s="265">
        <f t="shared" si="0"/>
        <v>6.29</v>
      </c>
      <c r="I10" s="266">
        <f>'1.Metodologia'!$D$17</f>
        <v>0.83199999999999996</v>
      </c>
      <c r="J10" s="262">
        <f t="shared" si="1"/>
        <v>5.2332799999999997</v>
      </c>
      <c r="K10" s="51">
        <v>0</v>
      </c>
      <c r="L10" s="52">
        <f t="shared" si="2"/>
        <v>0</v>
      </c>
      <c r="M10" s="53">
        <f>'1.Metodologia'!$D$18</f>
        <v>1.0999999999999999E-2</v>
      </c>
      <c r="N10" s="54">
        <f t="shared" si="3"/>
        <v>0</v>
      </c>
      <c r="O10" s="39">
        <v>0</v>
      </c>
      <c r="P10" s="51">
        <f>'1.Metodologia'!$C$19</f>
        <v>34.39</v>
      </c>
      <c r="Q10" s="51">
        <f t="shared" si="4"/>
        <v>0</v>
      </c>
      <c r="R10" s="52">
        <f t="shared" si="5"/>
        <v>0</v>
      </c>
      <c r="S10" s="53">
        <f>'1.Metodologia'!$D$19</f>
        <v>0.20100000000000001</v>
      </c>
      <c r="T10" s="50">
        <f t="shared" si="6"/>
        <v>0</v>
      </c>
      <c r="U10" s="51">
        <v>0</v>
      </c>
      <c r="V10" s="51">
        <f>'1.Metodologia'!$C$21</f>
        <v>22.37</v>
      </c>
      <c r="W10" s="51">
        <f t="shared" si="7"/>
        <v>0</v>
      </c>
      <c r="X10" s="52">
        <f t="shared" si="8"/>
        <v>0</v>
      </c>
      <c r="Y10" s="53">
        <f>'1.Metodologia'!$D$21</f>
        <v>0.34100000000000003</v>
      </c>
      <c r="Z10" s="54">
        <f t="shared" si="9"/>
        <v>0</v>
      </c>
      <c r="AA10" s="39">
        <v>0</v>
      </c>
      <c r="AB10" s="51">
        <f>'1.Metodologia'!$C$20</f>
        <v>47.31</v>
      </c>
      <c r="AC10" s="51">
        <f t="shared" si="10"/>
        <v>0</v>
      </c>
      <c r="AD10" s="52">
        <f t="shared" si="11"/>
        <v>0</v>
      </c>
      <c r="AE10" s="53">
        <f>'1.Metodologia'!$D$20</f>
        <v>0.22500000000000001</v>
      </c>
      <c r="AF10" s="54">
        <f t="shared" si="12"/>
        <v>0</v>
      </c>
      <c r="AG10" s="264">
        <v>10.401</v>
      </c>
      <c r="AH10" s="269">
        <v>860</v>
      </c>
      <c r="AI10" s="269">
        <f t="shared" si="13"/>
        <v>8944.86</v>
      </c>
      <c r="AJ10" s="269">
        <f>'1.Metodologia'!$C$22</f>
        <v>40.19</v>
      </c>
      <c r="AK10" s="269">
        <f t="shared" si="14"/>
        <v>359493.92340000003</v>
      </c>
      <c r="AL10" s="265">
        <f t="shared" si="15"/>
        <v>99.859423166666673</v>
      </c>
      <c r="AM10" s="266">
        <f>'1.Metodologia'!$D$22</f>
        <v>0.27600000000000002</v>
      </c>
      <c r="AN10" s="268">
        <f t="shared" si="16"/>
        <v>27.561200794000005</v>
      </c>
      <c r="AO10" s="171">
        <v>0</v>
      </c>
      <c r="AP10" s="51">
        <f>'1.Metodologia'!$C$23</f>
        <v>15</v>
      </c>
      <c r="AQ10" s="51">
        <f t="shared" si="17"/>
        <v>0</v>
      </c>
      <c r="AR10" s="107">
        <f t="shared" si="18"/>
        <v>0</v>
      </c>
      <c r="AS10" s="108">
        <f>'1.Metodologia'!$D$23</f>
        <v>0</v>
      </c>
      <c r="AT10" s="59">
        <f t="shared" si="19"/>
        <v>0</v>
      </c>
    </row>
    <row r="11" spans="1:46" ht="24.75" customHeight="1">
      <c r="A11" s="9">
        <v>9</v>
      </c>
      <c r="B11" s="175" t="s">
        <v>106</v>
      </c>
      <c r="C11" s="166" t="s">
        <v>107</v>
      </c>
      <c r="D11" s="111">
        <v>531</v>
      </c>
      <c r="E11" s="111" t="s">
        <v>108</v>
      </c>
      <c r="F11" s="158">
        <v>1964</v>
      </c>
      <c r="G11" s="259">
        <v>6818</v>
      </c>
      <c r="H11" s="260">
        <f t="shared" ref="H11:H42" si="20">G11/1000</f>
        <v>6.8179999999999996</v>
      </c>
      <c r="I11" s="261">
        <f>'1.Metodologia'!$D$17</f>
        <v>0.83199999999999996</v>
      </c>
      <c r="J11" s="262">
        <f t="shared" ref="J11:J40" si="21">H11*I11</f>
        <v>5.6725759999999994</v>
      </c>
      <c r="K11" s="55">
        <v>0</v>
      </c>
      <c r="L11" s="52">
        <f t="shared" ref="L11:L42" si="22">K11/3.6</f>
        <v>0</v>
      </c>
      <c r="M11" s="53">
        <f>'1.Metodologia'!$D$18</f>
        <v>1.0999999999999999E-2</v>
      </c>
      <c r="N11" s="54">
        <f t="shared" ref="N11:N40" si="23">L11*M11</f>
        <v>0</v>
      </c>
      <c r="O11" s="56">
        <v>0</v>
      </c>
      <c r="P11" s="51">
        <f>'1.Metodologia'!$C$19</f>
        <v>34.39</v>
      </c>
      <c r="Q11" s="51">
        <f t="shared" ref="Q11:Q40" si="24">O11*P11</f>
        <v>0</v>
      </c>
      <c r="R11" s="52">
        <f t="shared" ref="R11:R42" si="25">Q11/1000/3.6</f>
        <v>0</v>
      </c>
      <c r="S11" s="53">
        <f>'1.Metodologia'!$D$19</f>
        <v>0.20100000000000001</v>
      </c>
      <c r="T11" s="50">
        <f t="shared" ref="T11:T40" si="26">R11*S11</f>
        <v>0</v>
      </c>
      <c r="U11" s="55">
        <v>0</v>
      </c>
      <c r="V11" s="51">
        <f>'1.Metodologia'!$C$21</f>
        <v>22.37</v>
      </c>
      <c r="W11" s="51">
        <f t="shared" ref="W11:W40" si="27">U11*V11</f>
        <v>0</v>
      </c>
      <c r="X11" s="52">
        <f t="shared" ref="X11:X42" si="28">W11/1000/3.6</f>
        <v>0</v>
      </c>
      <c r="Y11" s="53">
        <f>'1.Metodologia'!$D$21</f>
        <v>0.34100000000000003</v>
      </c>
      <c r="Z11" s="54">
        <f t="shared" ref="Z11:Z40" si="29">X11*Y11</f>
        <v>0</v>
      </c>
      <c r="AA11" s="56">
        <v>0</v>
      </c>
      <c r="AB11" s="51">
        <f>'1.Metodologia'!$C$20</f>
        <v>47.31</v>
      </c>
      <c r="AC11" s="51">
        <f t="shared" ref="AC11:AC40" si="30">AA11*AB11</f>
        <v>0</v>
      </c>
      <c r="AD11" s="52">
        <f t="shared" ref="AD11:AD42" si="31">AC11/1000/3.6</f>
        <v>0</v>
      </c>
      <c r="AE11" s="53">
        <f>'1.Metodologia'!$D$20</f>
        <v>0.22500000000000001</v>
      </c>
      <c r="AF11" s="54">
        <f t="shared" ref="AF11:AF40" si="32">AD11*AE11</f>
        <v>0</v>
      </c>
      <c r="AG11" s="259">
        <v>9.0129999999999999</v>
      </c>
      <c r="AH11" s="267">
        <v>860</v>
      </c>
      <c r="AI11" s="269">
        <f t="shared" ref="AI11:AI42" si="33">AG11*AH11</f>
        <v>7751.18</v>
      </c>
      <c r="AJ11" s="269">
        <f>'1.Metodologia'!$C$22</f>
        <v>40.19</v>
      </c>
      <c r="AK11" s="269">
        <f t="shared" ref="AK11:AK28" si="34">AI11*AJ11</f>
        <v>311519.92420000001</v>
      </c>
      <c r="AL11" s="265">
        <f t="shared" ref="AL11:AL42" si="35">AK11/1000/3.6</f>
        <v>86.533312277777767</v>
      </c>
      <c r="AM11" s="266">
        <f>'1.Metodologia'!$D$22</f>
        <v>0.27600000000000002</v>
      </c>
      <c r="AN11" s="268">
        <f t="shared" ref="AN11:AN28" si="36">AL11*AM11</f>
        <v>23.883194188666664</v>
      </c>
      <c r="AO11" s="56">
        <v>0</v>
      </c>
      <c r="AP11" s="51">
        <f>'1.Metodologia'!$C$23</f>
        <v>15</v>
      </c>
      <c r="AQ11" s="51">
        <f t="shared" si="17"/>
        <v>0</v>
      </c>
      <c r="AR11" s="107">
        <f t="shared" si="18"/>
        <v>0</v>
      </c>
      <c r="AS11" s="108">
        <f>'1.Metodologia'!$D$23</f>
        <v>0</v>
      </c>
      <c r="AT11" s="59">
        <f t="shared" si="19"/>
        <v>0</v>
      </c>
    </row>
    <row r="12" spans="1:46" ht="24">
      <c r="A12" s="9">
        <v>10</v>
      </c>
      <c r="B12" s="175" t="s">
        <v>111</v>
      </c>
      <c r="C12" s="166" t="s">
        <v>112</v>
      </c>
      <c r="D12" s="111">
        <v>1027.32</v>
      </c>
      <c r="E12" s="111">
        <v>4154.8999999999996</v>
      </c>
      <c r="F12" s="158">
        <v>1936</v>
      </c>
      <c r="G12" s="263">
        <v>11671</v>
      </c>
      <c r="H12" s="260">
        <f t="shared" si="20"/>
        <v>11.670999999999999</v>
      </c>
      <c r="I12" s="261">
        <f>'1.Metodologia'!$D$17</f>
        <v>0.83199999999999996</v>
      </c>
      <c r="J12" s="262">
        <f t="shared" si="21"/>
        <v>9.7102719999999998</v>
      </c>
      <c r="K12" s="55">
        <v>0</v>
      </c>
      <c r="L12" s="52">
        <f t="shared" si="22"/>
        <v>0</v>
      </c>
      <c r="M12" s="53">
        <f>'1.Metodologia'!$D$18</f>
        <v>1.0999999999999999E-2</v>
      </c>
      <c r="N12" s="54">
        <f t="shared" si="23"/>
        <v>0</v>
      </c>
      <c r="O12" s="56">
        <v>0</v>
      </c>
      <c r="P12" s="51">
        <f>'1.Metodologia'!$C$19</f>
        <v>34.39</v>
      </c>
      <c r="Q12" s="51">
        <f t="shared" si="24"/>
        <v>0</v>
      </c>
      <c r="R12" s="52">
        <f t="shared" si="25"/>
        <v>0</v>
      </c>
      <c r="S12" s="53">
        <f>'1.Metodologia'!$D$19</f>
        <v>0.20100000000000001</v>
      </c>
      <c r="T12" s="50">
        <f t="shared" si="26"/>
        <v>0</v>
      </c>
      <c r="U12" s="267">
        <v>38190</v>
      </c>
      <c r="V12" s="269">
        <f>'1.Metodologia'!$C$21</f>
        <v>22.37</v>
      </c>
      <c r="W12" s="269">
        <f t="shared" si="27"/>
        <v>854310.3</v>
      </c>
      <c r="X12" s="265">
        <f t="shared" si="28"/>
        <v>237.30841666666669</v>
      </c>
      <c r="Y12" s="266">
        <f>'1.Metodologia'!$D$21</f>
        <v>0.34100000000000003</v>
      </c>
      <c r="Z12" s="268">
        <f t="shared" si="29"/>
        <v>80.922170083333341</v>
      </c>
      <c r="AA12" s="56">
        <v>0</v>
      </c>
      <c r="AB12" s="51">
        <f>'1.Metodologia'!$C$20</f>
        <v>47.31</v>
      </c>
      <c r="AC12" s="51">
        <f t="shared" si="30"/>
        <v>0</v>
      </c>
      <c r="AD12" s="52">
        <f t="shared" si="31"/>
        <v>0</v>
      </c>
      <c r="AE12" s="53">
        <f>'1.Metodologia'!$D$20</f>
        <v>0.22500000000000001</v>
      </c>
      <c r="AF12" s="54">
        <f t="shared" si="32"/>
        <v>0</v>
      </c>
      <c r="AG12" s="56">
        <v>0</v>
      </c>
      <c r="AH12" s="55">
        <v>860</v>
      </c>
      <c r="AI12" s="51">
        <f t="shared" si="33"/>
        <v>0</v>
      </c>
      <c r="AJ12" s="51">
        <f>'1.Metodologia'!$C$22</f>
        <v>40.19</v>
      </c>
      <c r="AK12" s="51">
        <f t="shared" si="34"/>
        <v>0</v>
      </c>
      <c r="AL12" s="52">
        <f t="shared" si="35"/>
        <v>0</v>
      </c>
      <c r="AM12" s="53">
        <f>'1.Metodologia'!$D$22</f>
        <v>0.27600000000000002</v>
      </c>
      <c r="AN12" s="54">
        <f t="shared" si="36"/>
        <v>0</v>
      </c>
      <c r="AO12" s="56">
        <v>0</v>
      </c>
      <c r="AP12" s="51">
        <f>'1.Metodologia'!$C$23</f>
        <v>15</v>
      </c>
      <c r="AQ12" s="51">
        <f t="shared" si="17"/>
        <v>0</v>
      </c>
      <c r="AR12" s="107">
        <f t="shared" si="18"/>
        <v>0</v>
      </c>
      <c r="AS12" s="108">
        <f>'1.Metodologia'!$D$23</f>
        <v>0</v>
      </c>
      <c r="AT12" s="59">
        <f t="shared" si="19"/>
        <v>0</v>
      </c>
    </row>
    <row r="13" spans="1:46" ht="36">
      <c r="A13" s="9">
        <v>11</v>
      </c>
      <c r="B13" s="175" t="s">
        <v>113</v>
      </c>
      <c r="C13" s="166" t="s">
        <v>114</v>
      </c>
      <c r="D13" s="111">
        <v>560</v>
      </c>
      <c r="E13" s="111">
        <v>3276</v>
      </c>
      <c r="F13" s="158">
        <v>1959</v>
      </c>
      <c r="G13" s="259">
        <v>6886</v>
      </c>
      <c r="H13" s="260">
        <f t="shared" si="20"/>
        <v>6.8860000000000001</v>
      </c>
      <c r="I13" s="261">
        <f>'1.Metodologia'!$D$17</f>
        <v>0.83199999999999996</v>
      </c>
      <c r="J13" s="262">
        <f t="shared" si="21"/>
        <v>5.729152</v>
      </c>
      <c r="K13" s="55">
        <v>0</v>
      </c>
      <c r="L13" s="52">
        <f t="shared" si="22"/>
        <v>0</v>
      </c>
      <c r="M13" s="53">
        <f>'1.Metodologia'!$D$18</f>
        <v>1.0999999999999999E-2</v>
      </c>
      <c r="N13" s="54">
        <f t="shared" si="23"/>
        <v>0</v>
      </c>
      <c r="O13" s="56">
        <v>0</v>
      </c>
      <c r="P13" s="51">
        <f>'1.Metodologia'!$C$19</f>
        <v>34.39</v>
      </c>
      <c r="Q13" s="51">
        <f t="shared" si="24"/>
        <v>0</v>
      </c>
      <c r="R13" s="52">
        <f t="shared" si="25"/>
        <v>0</v>
      </c>
      <c r="S13" s="53">
        <f>'1.Metodologia'!$D$19</f>
        <v>0.20100000000000001</v>
      </c>
      <c r="T13" s="50">
        <f t="shared" si="26"/>
        <v>0</v>
      </c>
      <c r="U13" s="55">
        <v>0</v>
      </c>
      <c r="V13" s="51">
        <f>'1.Metodologia'!$C$21</f>
        <v>22.37</v>
      </c>
      <c r="W13" s="51">
        <f t="shared" si="27"/>
        <v>0</v>
      </c>
      <c r="X13" s="52">
        <f t="shared" si="28"/>
        <v>0</v>
      </c>
      <c r="Y13" s="53">
        <f>'1.Metodologia'!$D$21</f>
        <v>0.34100000000000003</v>
      </c>
      <c r="Z13" s="54">
        <f t="shared" si="29"/>
        <v>0</v>
      </c>
      <c r="AA13" s="56">
        <v>0</v>
      </c>
      <c r="AB13" s="51">
        <f>'1.Metodologia'!$C$20</f>
        <v>47.31</v>
      </c>
      <c r="AC13" s="51">
        <f t="shared" si="30"/>
        <v>0</v>
      </c>
      <c r="AD13" s="52">
        <f t="shared" si="31"/>
        <v>0</v>
      </c>
      <c r="AE13" s="53">
        <f>'1.Metodologia'!$D$20</f>
        <v>0.22500000000000001</v>
      </c>
      <c r="AF13" s="54">
        <f t="shared" si="32"/>
        <v>0</v>
      </c>
      <c r="AG13" s="259">
        <v>5.83</v>
      </c>
      <c r="AH13" s="267">
        <v>860</v>
      </c>
      <c r="AI13" s="269">
        <f t="shared" si="33"/>
        <v>5013.8</v>
      </c>
      <c r="AJ13" s="269">
        <f>'1.Metodologia'!$C$22</f>
        <v>40.19</v>
      </c>
      <c r="AK13" s="269">
        <f t="shared" si="34"/>
        <v>201504.622</v>
      </c>
      <c r="AL13" s="265">
        <f t="shared" si="35"/>
        <v>55.973506111111114</v>
      </c>
      <c r="AM13" s="266">
        <f>'1.Metodologia'!$D$22</f>
        <v>0.27600000000000002</v>
      </c>
      <c r="AN13" s="268">
        <f t="shared" si="36"/>
        <v>15.448687686666668</v>
      </c>
      <c r="AO13" s="56">
        <v>0</v>
      </c>
      <c r="AP13" s="51">
        <f>'1.Metodologia'!$C$23</f>
        <v>15</v>
      </c>
      <c r="AQ13" s="51">
        <f t="shared" si="17"/>
        <v>0</v>
      </c>
      <c r="AR13" s="107">
        <f t="shared" si="18"/>
        <v>0</v>
      </c>
      <c r="AS13" s="108">
        <f>'1.Metodologia'!$D$23</f>
        <v>0</v>
      </c>
      <c r="AT13" s="59">
        <f t="shared" si="19"/>
        <v>0</v>
      </c>
    </row>
    <row r="14" spans="1:46" ht="36">
      <c r="A14" s="9">
        <v>12</v>
      </c>
      <c r="B14" s="175" t="s">
        <v>115</v>
      </c>
      <c r="C14" s="166" t="s">
        <v>116</v>
      </c>
      <c r="D14" s="111">
        <v>1012</v>
      </c>
      <c r="E14" s="111">
        <v>1173</v>
      </c>
      <c r="F14" s="158">
        <v>1958</v>
      </c>
      <c r="G14" s="259">
        <v>5802</v>
      </c>
      <c r="H14" s="260">
        <f t="shared" si="20"/>
        <v>5.8019999999999996</v>
      </c>
      <c r="I14" s="261">
        <f>'1.Metodologia'!$D$17</f>
        <v>0.83199999999999996</v>
      </c>
      <c r="J14" s="262">
        <f t="shared" si="21"/>
        <v>4.8272639999999996</v>
      </c>
      <c r="K14" s="55">
        <v>0</v>
      </c>
      <c r="L14" s="52">
        <f t="shared" si="22"/>
        <v>0</v>
      </c>
      <c r="M14" s="53">
        <f>'1.Metodologia'!$D$18</f>
        <v>1.0999999999999999E-2</v>
      </c>
      <c r="N14" s="54">
        <f t="shared" si="23"/>
        <v>0</v>
      </c>
      <c r="O14" s="56">
        <v>0</v>
      </c>
      <c r="P14" s="51">
        <f>'1.Metodologia'!$C$19</f>
        <v>34.39</v>
      </c>
      <c r="Q14" s="51">
        <f t="shared" si="24"/>
        <v>0</v>
      </c>
      <c r="R14" s="52">
        <f t="shared" si="25"/>
        <v>0</v>
      </c>
      <c r="S14" s="53">
        <f>'1.Metodologia'!$D$19</f>
        <v>0.20100000000000001</v>
      </c>
      <c r="T14" s="50">
        <f t="shared" si="26"/>
        <v>0</v>
      </c>
      <c r="U14" s="55">
        <v>0</v>
      </c>
      <c r="V14" s="51">
        <f>'1.Metodologia'!$C$21</f>
        <v>22.37</v>
      </c>
      <c r="W14" s="51">
        <f t="shared" si="27"/>
        <v>0</v>
      </c>
      <c r="X14" s="52">
        <f t="shared" si="28"/>
        <v>0</v>
      </c>
      <c r="Y14" s="53">
        <f>'1.Metodologia'!$D$21</f>
        <v>0.34100000000000003</v>
      </c>
      <c r="Z14" s="54">
        <f t="shared" si="29"/>
        <v>0</v>
      </c>
      <c r="AA14" s="56">
        <v>0</v>
      </c>
      <c r="AB14" s="51">
        <f>'1.Metodologia'!$C$20</f>
        <v>47.31</v>
      </c>
      <c r="AC14" s="51">
        <f t="shared" si="30"/>
        <v>0</v>
      </c>
      <c r="AD14" s="52">
        <f t="shared" si="31"/>
        <v>0</v>
      </c>
      <c r="AE14" s="53">
        <f>'1.Metodologia'!$D$20</f>
        <v>0.22500000000000001</v>
      </c>
      <c r="AF14" s="54">
        <f t="shared" si="32"/>
        <v>0</v>
      </c>
      <c r="AG14" s="259">
        <v>9.8070000000000004</v>
      </c>
      <c r="AH14" s="267">
        <v>860</v>
      </c>
      <c r="AI14" s="269">
        <f t="shared" si="33"/>
        <v>8434.02</v>
      </c>
      <c r="AJ14" s="269">
        <f>'1.Metodologia'!$C$22</f>
        <v>40.19</v>
      </c>
      <c r="AK14" s="269">
        <f t="shared" si="34"/>
        <v>338963.26380000002</v>
      </c>
      <c r="AL14" s="265">
        <f t="shared" si="35"/>
        <v>94.156462166666657</v>
      </c>
      <c r="AM14" s="266">
        <f>'1.Metodologia'!$D$22</f>
        <v>0.27600000000000002</v>
      </c>
      <c r="AN14" s="268">
        <f t="shared" si="36"/>
        <v>25.987183557999998</v>
      </c>
      <c r="AO14" s="56">
        <v>0</v>
      </c>
      <c r="AP14" s="51">
        <f>'1.Metodologia'!$C$23</f>
        <v>15</v>
      </c>
      <c r="AQ14" s="51">
        <f t="shared" si="17"/>
        <v>0</v>
      </c>
      <c r="AR14" s="107">
        <f t="shared" si="18"/>
        <v>0</v>
      </c>
      <c r="AS14" s="108">
        <f>'1.Metodologia'!$D$23</f>
        <v>0</v>
      </c>
      <c r="AT14" s="59">
        <f t="shared" si="19"/>
        <v>0</v>
      </c>
    </row>
    <row r="15" spans="1:46" ht="24">
      <c r="A15" s="9">
        <v>13</v>
      </c>
      <c r="B15" s="175" t="s">
        <v>121</v>
      </c>
      <c r="C15" s="166" t="s">
        <v>122</v>
      </c>
      <c r="D15" s="111">
        <v>866.63</v>
      </c>
      <c r="E15" s="111">
        <v>6484</v>
      </c>
      <c r="F15" s="158">
        <v>1993</v>
      </c>
      <c r="G15" s="259">
        <v>13592</v>
      </c>
      <c r="H15" s="260">
        <f t="shared" si="20"/>
        <v>13.592000000000001</v>
      </c>
      <c r="I15" s="261">
        <f>'1.Metodologia'!$D$17</f>
        <v>0.83199999999999996</v>
      </c>
      <c r="J15" s="262">
        <f t="shared" si="21"/>
        <v>11.308543999999999</v>
      </c>
      <c r="K15" s="55">
        <v>0</v>
      </c>
      <c r="L15" s="52">
        <f t="shared" si="22"/>
        <v>0</v>
      </c>
      <c r="M15" s="53">
        <f>'1.Metodologia'!$D$18</f>
        <v>1.0999999999999999E-2</v>
      </c>
      <c r="N15" s="54">
        <f t="shared" si="23"/>
        <v>0</v>
      </c>
      <c r="O15" s="56">
        <v>0</v>
      </c>
      <c r="P15" s="51">
        <f>'1.Metodologia'!$C$19</f>
        <v>34.39</v>
      </c>
      <c r="Q15" s="51">
        <f t="shared" si="24"/>
        <v>0</v>
      </c>
      <c r="R15" s="52">
        <f t="shared" si="25"/>
        <v>0</v>
      </c>
      <c r="S15" s="53">
        <f>'1.Metodologia'!$D$19</f>
        <v>0.20100000000000001</v>
      </c>
      <c r="T15" s="50">
        <f t="shared" si="26"/>
        <v>0</v>
      </c>
      <c r="U15" s="267">
        <v>66510</v>
      </c>
      <c r="V15" s="269">
        <f>'1.Metodologia'!$C$21</f>
        <v>22.37</v>
      </c>
      <c r="W15" s="269">
        <f t="shared" si="27"/>
        <v>1487828.7</v>
      </c>
      <c r="X15" s="265">
        <f t="shared" si="28"/>
        <v>413.28575000000001</v>
      </c>
      <c r="Y15" s="266">
        <f>'1.Metodologia'!$D$21</f>
        <v>0.34100000000000003</v>
      </c>
      <c r="Z15" s="268">
        <f t="shared" si="29"/>
        <v>140.93044075</v>
      </c>
      <c r="AA15" s="56">
        <v>0</v>
      </c>
      <c r="AB15" s="51">
        <f>'1.Metodologia'!$C$20</f>
        <v>47.31</v>
      </c>
      <c r="AC15" s="51">
        <f t="shared" si="30"/>
        <v>0</v>
      </c>
      <c r="AD15" s="52">
        <f t="shared" si="31"/>
        <v>0</v>
      </c>
      <c r="AE15" s="53">
        <f>'1.Metodologia'!$D$20</f>
        <v>0.22500000000000001</v>
      </c>
      <c r="AF15" s="54">
        <f t="shared" si="32"/>
        <v>0</v>
      </c>
      <c r="AG15" s="56">
        <v>0</v>
      </c>
      <c r="AH15" s="55">
        <v>860</v>
      </c>
      <c r="AI15" s="51">
        <f t="shared" si="33"/>
        <v>0</v>
      </c>
      <c r="AJ15" s="51">
        <f>'1.Metodologia'!$C$22</f>
        <v>40.19</v>
      </c>
      <c r="AK15" s="51">
        <f t="shared" si="34"/>
        <v>0</v>
      </c>
      <c r="AL15" s="52">
        <f t="shared" si="35"/>
        <v>0</v>
      </c>
      <c r="AM15" s="53">
        <f>'1.Metodologia'!$D$22</f>
        <v>0.27600000000000002</v>
      </c>
      <c r="AN15" s="54">
        <f t="shared" si="36"/>
        <v>0</v>
      </c>
      <c r="AO15" s="56">
        <v>0</v>
      </c>
      <c r="AP15" s="51">
        <f>'1.Metodologia'!$C$23</f>
        <v>15</v>
      </c>
      <c r="AQ15" s="51">
        <f t="shared" si="17"/>
        <v>0</v>
      </c>
      <c r="AR15" s="107">
        <f t="shared" si="18"/>
        <v>0</v>
      </c>
      <c r="AS15" s="108">
        <f>'1.Metodologia'!$D$23</f>
        <v>0</v>
      </c>
      <c r="AT15" s="59">
        <f t="shared" si="19"/>
        <v>0</v>
      </c>
    </row>
    <row r="16" spans="1:46" ht="36">
      <c r="A16" s="9">
        <v>14</v>
      </c>
      <c r="B16" s="175" t="s">
        <v>117</v>
      </c>
      <c r="C16" s="166" t="s">
        <v>118</v>
      </c>
      <c r="D16" s="111">
        <v>4145</v>
      </c>
      <c r="E16" s="111">
        <v>21704</v>
      </c>
      <c r="F16" s="158">
        <v>2001</v>
      </c>
      <c r="G16" s="259">
        <v>68428</v>
      </c>
      <c r="H16" s="260">
        <f>G16/1000</f>
        <v>68.427999999999997</v>
      </c>
      <c r="I16" s="261">
        <f>'1.Metodologia'!$D$17</f>
        <v>0.83199999999999996</v>
      </c>
      <c r="J16" s="262">
        <f>H16*I16</f>
        <v>56.932095999999994</v>
      </c>
      <c r="K16" s="267">
        <v>910.12</v>
      </c>
      <c r="L16" s="265">
        <f>K16/3.6</f>
        <v>252.8111111111111</v>
      </c>
      <c r="M16" s="266">
        <f>'1.Metodologia'!$D$18</f>
        <v>1.0999999999999999E-2</v>
      </c>
      <c r="N16" s="268">
        <f>L16*M16</f>
        <v>2.7809222222222219</v>
      </c>
      <c r="O16" s="56">
        <v>0</v>
      </c>
      <c r="P16" s="51">
        <f>'1.Metodologia'!$C$19</f>
        <v>34.39</v>
      </c>
      <c r="Q16" s="51">
        <f>O16*P16</f>
        <v>0</v>
      </c>
      <c r="R16" s="52">
        <f>Q16/1000/3.6</f>
        <v>0</v>
      </c>
      <c r="S16" s="53">
        <f>'1.Metodologia'!$D$19</f>
        <v>0.20100000000000001</v>
      </c>
      <c r="T16" s="50">
        <f>R16*S16</f>
        <v>0</v>
      </c>
      <c r="U16" s="55">
        <v>0</v>
      </c>
      <c r="V16" s="51">
        <f>'1.Metodologia'!$C$21</f>
        <v>22.37</v>
      </c>
      <c r="W16" s="51">
        <f>U16*V16</f>
        <v>0</v>
      </c>
      <c r="X16" s="52">
        <f>W16/1000/3.6</f>
        <v>0</v>
      </c>
      <c r="Y16" s="53">
        <f>'1.Metodologia'!$D$21</f>
        <v>0.34100000000000003</v>
      </c>
      <c r="Z16" s="54">
        <f>X16*Y16</f>
        <v>0</v>
      </c>
      <c r="AA16" s="56">
        <v>0</v>
      </c>
      <c r="AB16" s="51">
        <f>'1.Metodologia'!$C$20</f>
        <v>47.31</v>
      </c>
      <c r="AC16" s="51">
        <f>AA16*AB16</f>
        <v>0</v>
      </c>
      <c r="AD16" s="52">
        <f>AC16/1000/3.6</f>
        <v>0</v>
      </c>
      <c r="AE16" s="53">
        <f>'1.Metodologia'!$D$20</f>
        <v>0.22500000000000001</v>
      </c>
      <c r="AF16" s="54">
        <f>AD16*AE16</f>
        <v>0</v>
      </c>
      <c r="AG16" s="56">
        <v>0</v>
      </c>
      <c r="AH16" s="55">
        <v>860</v>
      </c>
      <c r="AI16" s="51">
        <f>AG16*AH16</f>
        <v>0</v>
      </c>
      <c r="AJ16" s="51">
        <f>'1.Metodologia'!$C$22</f>
        <v>40.19</v>
      </c>
      <c r="AK16" s="51">
        <f>AI16*AJ16</f>
        <v>0</v>
      </c>
      <c r="AL16" s="52">
        <f>AK16/1000/3.6</f>
        <v>0</v>
      </c>
      <c r="AM16" s="53">
        <f>'1.Metodologia'!$D$22</f>
        <v>0.27600000000000002</v>
      </c>
      <c r="AN16" s="54">
        <f>AL16*AM16</f>
        <v>0</v>
      </c>
      <c r="AO16" s="56">
        <v>0</v>
      </c>
      <c r="AP16" s="51">
        <f>'1.Metodologia'!$C$23</f>
        <v>15</v>
      </c>
      <c r="AQ16" s="51">
        <f>AO16*AP16</f>
        <v>0</v>
      </c>
      <c r="AR16" s="107">
        <f>AQ16/1000/3.6</f>
        <v>0</v>
      </c>
      <c r="AS16" s="108">
        <f>'1.Metodologia'!$D$23</f>
        <v>0</v>
      </c>
      <c r="AT16" s="59">
        <f>AR16*AS16</f>
        <v>0</v>
      </c>
    </row>
    <row r="17" spans="1:46" ht="36">
      <c r="A17" s="9">
        <v>15</v>
      </c>
      <c r="B17" s="175" t="s">
        <v>144</v>
      </c>
      <c r="C17" s="166" t="s">
        <v>145</v>
      </c>
      <c r="D17" s="111" t="s">
        <v>136</v>
      </c>
      <c r="E17" s="111">
        <v>6634</v>
      </c>
      <c r="F17" s="161">
        <v>1962</v>
      </c>
      <c r="G17" s="56">
        <v>0</v>
      </c>
      <c r="H17" s="48">
        <f t="shared" ref="H17:H23" si="37">G17/1000</f>
        <v>0</v>
      </c>
      <c r="I17" s="49">
        <f>'1.Metodologia'!$D$17</f>
        <v>0.83199999999999996</v>
      </c>
      <c r="J17" s="59">
        <f t="shared" ref="J17:J23" si="38">H17*I17</f>
        <v>0</v>
      </c>
      <c r="K17" s="55">
        <v>0</v>
      </c>
      <c r="L17" s="107">
        <f t="shared" ref="L17:L23" si="39">K17/3.6</f>
        <v>0</v>
      </c>
      <c r="M17" s="108">
        <f>'1.Metodologia'!$D$18</f>
        <v>1.0999999999999999E-2</v>
      </c>
      <c r="N17" s="54">
        <f t="shared" ref="N17:N23" si="40">L17*M17</f>
        <v>0</v>
      </c>
      <c r="O17" s="56">
        <v>0</v>
      </c>
      <c r="P17" s="51">
        <f>'1.Metodologia'!$C$19</f>
        <v>34.39</v>
      </c>
      <c r="Q17" s="51">
        <f t="shared" ref="Q17:Q23" si="41">O17*P17</f>
        <v>0</v>
      </c>
      <c r="R17" s="107">
        <f t="shared" ref="R17:R23" si="42">Q17/1000/3.6</f>
        <v>0</v>
      </c>
      <c r="S17" s="108">
        <f>'1.Metodologia'!$D$19</f>
        <v>0.20100000000000001</v>
      </c>
      <c r="T17" s="59">
        <f t="shared" ref="T17:T23" si="43">R17*S17</f>
        <v>0</v>
      </c>
      <c r="U17" s="55">
        <v>0</v>
      </c>
      <c r="V17" s="51">
        <f>'1.Metodologia'!$C$21</f>
        <v>22.37</v>
      </c>
      <c r="W17" s="51">
        <f t="shared" ref="W17:W23" si="44">U17*V17</f>
        <v>0</v>
      </c>
      <c r="X17" s="107">
        <f t="shared" ref="X17:X23" si="45">W17/1000/3.6</f>
        <v>0</v>
      </c>
      <c r="Y17" s="108">
        <f>'1.Metodologia'!$D$21</f>
        <v>0.34100000000000003</v>
      </c>
      <c r="Z17" s="54">
        <f t="shared" ref="Z17:Z23" si="46">X17*Y17</f>
        <v>0</v>
      </c>
      <c r="AA17" s="56">
        <v>0</v>
      </c>
      <c r="AB17" s="51">
        <f>'1.Metodologia'!$C$20</f>
        <v>47.31</v>
      </c>
      <c r="AC17" s="51">
        <f t="shared" ref="AC17:AC23" si="47">AA17*AB17</f>
        <v>0</v>
      </c>
      <c r="AD17" s="107">
        <f t="shared" ref="AD17:AD23" si="48">AC17/1000/3.6</f>
        <v>0</v>
      </c>
      <c r="AE17" s="108">
        <f>'1.Metodologia'!$D$20</f>
        <v>0.22500000000000001</v>
      </c>
      <c r="AF17" s="54">
        <f t="shared" ref="AF17:AF23" si="49">AD17*AE17</f>
        <v>0</v>
      </c>
      <c r="AG17" s="259">
        <v>50.854999999999997</v>
      </c>
      <c r="AH17" s="267">
        <v>862</v>
      </c>
      <c r="AI17" s="269">
        <f t="shared" ref="AI17:AI23" si="50">AG17*AH17</f>
        <v>43837.009999999995</v>
      </c>
      <c r="AJ17" s="269">
        <f>'1.Metodologia'!$C$22</f>
        <v>40.19</v>
      </c>
      <c r="AK17" s="269">
        <f t="shared" ref="AK17:AK23" si="51">AI17*AJ17</f>
        <v>1761809.4318999997</v>
      </c>
      <c r="AL17" s="265">
        <f t="shared" ref="AL17:AL23" si="52">AK17/1000/3.6</f>
        <v>489.39150886111099</v>
      </c>
      <c r="AM17" s="266">
        <f>'1.Metodologia'!$D$22</f>
        <v>0.27600000000000002</v>
      </c>
      <c r="AN17" s="268">
        <f t="shared" ref="AN17:AN23" si="53">AL17*AM17</f>
        <v>135.07205644566665</v>
      </c>
      <c r="AO17" s="56">
        <v>0</v>
      </c>
      <c r="AP17" s="51">
        <f>'1.Metodologia'!$C$23</f>
        <v>15</v>
      </c>
      <c r="AQ17" s="51">
        <f t="shared" ref="AQ17:AQ42" si="54">AO17*AP17</f>
        <v>0</v>
      </c>
      <c r="AR17" s="107">
        <f t="shared" ref="AR17:AR42" si="55">AQ17/1000/3.6</f>
        <v>0</v>
      </c>
      <c r="AS17" s="108">
        <f>'1.Metodologia'!$D$23</f>
        <v>0</v>
      </c>
      <c r="AT17" s="59">
        <f t="shared" ref="AT17:AT42" si="56">AR17*AS17</f>
        <v>0</v>
      </c>
    </row>
    <row r="18" spans="1:46" ht="24.75" thickBot="1">
      <c r="A18" s="9">
        <v>16</v>
      </c>
      <c r="B18" s="175" t="s">
        <v>137</v>
      </c>
      <c r="C18" s="166" t="s">
        <v>138</v>
      </c>
      <c r="D18" s="111">
        <v>384</v>
      </c>
      <c r="E18" s="111">
        <v>2688</v>
      </c>
      <c r="F18" s="161">
        <v>1985</v>
      </c>
      <c r="G18" s="259">
        <v>6500</v>
      </c>
      <c r="H18" s="260">
        <f>G18/1000</f>
        <v>6.5</v>
      </c>
      <c r="I18" s="261">
        <f>'1.Metodologia'!$D$17</f>
        <v>0.83199999999999996</v>
      </c>
      <c r="J18" s="262">
        <f>H18*I18</f>
        <v>5.4079999999999995</v>
      </c>
      <c r="K18" s="55">
        <v>0</v>
      </c>
      <c r="L18" s="107">
        <f>K18/3.6</f>
        <v>0</v>
      </c>
      <c r="M18" s="108">
        <f>'1.Metodologia'!$D$18</f>
        <v>1.0999999999999999E-2</v>
      </c>
      <c r="N18" s="54">
        <f>L18*M18</f>
        <v>0</v>
      </c>
      <c r="O18" s="56">
        <v>0</v>
      </c>
      <c r="P18" s="51">
        <f>'1.Metodologia'!$C$19</f>
        <v>34.39</v>
      </c>
      <c r="Q18" s="51">
        <f>O18*P18</f>
        <v>0</v>
      </c>
      <c r="R18" s="107">
        <f>Q18/1000/3.6</f>
        <v>0</v>
      </c>
      <c r="S18" s="108">
        <f>'1.Metodologia'!$D$19</f>
        <v>0.20100000000000001</v>
      </c>
      <c r="T18" s="59">
        <f>R18*S18</f>
        <v>0</v>
      </c>
      <c r="U18" s="267">
        <v>16000</v>
      </c>
      <c r="V18" s="269">
        <f>'1.Metodologia'!$C$21</f>
        <v>22.37</v>
      </c>
      <c r="W18" s="269">
        <f>U18*V18</f>
        <v>357920</v>
      </c>
      <c r="X18" s="265">
        <f>W18/1000/3.6</f>
        <v>99.422222222222217</v>
      </c>
      <c r="Y18" s="266">
        <f>'1.Metodologia'!$D$21</f>
        <v>0.34100000000000003</v>
      </c>
      <c r="Z18" s="268">
        <f>X18*Y18</f>
        <v>33.902977777777778</v>
      </c>
      <c r="AA18" s="56">
        <v>0</v>
      </c>
      <c r="AB18" s="51">
        <f>'1.Metodologia'!$C$20</f>
        <v>47.31</v>
      </c>
      <c r="AC18" s="51">
        <f>AA18*AB18</f>
        <v>0</v>
      </c>
      <c r="AD18" s="107">
        <f>AC18/1000/3.6</f>
        <v>0</v>
      </c>
      <c r="AE18" s="108">
        <f>'1.Metodologia'!$D$20</f>
        <v>0.22500000000000001</v>
      </c>
      <c r="AF18" s="54">
        <f>AD18*AE18</f>
        <v>0</v>
      </c>
      <c r="AG18" s="56">
        <v>0</v>
      </c>
      <c r="AH18" s="55">
        <v>861</v>
      </c>
      <c r="AI18" s="51">
        <f>AG18*AH18</f>
        <v>0</v>
      </c>
      <c r="AJ18" s="51">
        <f>'1.Metodologia'!$C$22</f>
        <v>40.19</v>
      </c>
      <c r="AK18" s="51">
        <f>AI18*AJ18</f>
        <v>0</v>
      </c>
      <c r="AL18" s="107">
        <f>AK18/1000/3.6</f>
        <v>0</v>
      </c>
      <c r="AM18" s="108">
        <f>'1.Metodologia'!$D$22</f>
        <v>0.27600000000000002</v>
      </c>
      <c r="AN18" s="54">
        <f>AL18*AM18</f>
        <v>0</v>
      </c>
      <c r="AO18" s="259">
        <v>10000</v>
      </c>
      <c r="AP18" s="269">
        <f>'1.Metodologia'!$C$23</f>
        <v>15</v>
      </c>
      <c r="AQ18" s="269">
        <f>AO18*AP18</f>
        <v>150000</v>
      </c>
      <c r="AR18" s="265">
        <f>AQ18/1000/3.6</f>
        <v>41.666666666666664</v>
      </c>
      <c r="AS18" s="266">
        <f>'1.Metodologia'!$D$23</f>
        <v>0</v>
      </c>
      <c r="AT18" s="262">
        <f>AR18*AS18</f>
        <v>0</v>
      </c>
    </row>
    <row r="19" spans="1:46" hidden="1">
      <c r="A19" s="9"/>
      <c r="B19" s="165"/>
      <c r="C19" s="166"/>
      <c r="D19" s="111"/>
      <c r="E19" s="111"/>
      <c r="F19" s="161"/>
      <c r="G19" s="56"/>
      <c r="H19" s="48">
        <f t="shared" si="37"/>
        <v>0</v>
      </c>
      <c r="I19" s="49">
        <f>'1.Metodologia'!$D$17</f>
        <v>0.83199999999999996</v>
      </c>
      <c r="J19" s="59">
        <f t="shared" si="38"/>
        <v>0</v>
      </c>
      <c r="K19" s="55"/>
      <c r="L19" s="107">
        <f t="shared" si="39"/>
        <v>0</v>
      </c>
      <c r="M19" s="108">
        <f>'1.Metodologia'!$D$18</f>
        <v>1.0999999999999999E-2</v>
      </c>
      <c r="N19" s="54">
        <f t="shared" si="40"/>
        <v>0</v>
      </c>
      <c r="O19" s="56"/>
      <c r="P19" s="51">
        <f>'1.Metodologia'!$C$19</f>
        <v>34.39</v>
      </c>
      <c r="Q19" s="51">
        <f t="shared" si="41"/>
        <v>0</v>
      </c>
      <c r="R19" s="107">
        <f t="shared" si="42"/>
        <v>0</v>
      </c>
      <c r="S19" s="108">
        <f>'1.Metodologia'!$D$19</f>
        <v>0.20100000000000001</v>
      </c>
      <c r="T19" s="59">
        <f t="shared" si="43"/>
        <v>0</v>
      </c>
      <c r="U19" s="55"/>
      <c r="V19" s="51">
        <f>'1.Metodologia'!$C$21</f>
        <v>22.37</v>
      </c>
      <c r="W19" s="51">
        <f t="shared" si="44"/>
        <v>0</v>
      </c>
      <c r="X19" s="107">
        <f t="shared" si="45"/>
        <v>0</v>
      </c>
      <c r="Y19" s="108">
        <f>'1.Metodologia'!$D$21</f>
        <v>0.34100000000000003</v>
      </c>
      <c r="Z19" s="54">
        <f t="shared" si="46"/>
        <v>0</v>
      </c>
      <c r="AA19" s="56"/>
      <c r="AB19" s="51">
        <f>'1.Metodologia'!$C$20</f>
        <v>47.31</v>
      </c>
      <c r="AC19" s="51">
        <f t="shared" si="47"/>
        <v>0</v>
      </c>
      <c r="AD19" s="107">
        <f t="shared" si="48"/>
        <v>0</v>
      </c>
      <c r="AE19" s="108">
        <f>'1.Metodologia'!$D$20</f>
        <v>0.22500000000000001</v>
      </c>
      <c r="AF19" s="54">
        <f t="shared" si="49"/>
        <v>0</v>
      </c>
      <c r="AG19" s="56"/>
      <c r="AH19" s="55">
        <v>864</v>
      </c>
      <c r="AI19" s="51">
        <f t="shared" si="50"/>
        <v>0</v>
      </c>
      <c r="AJ19" s="51">
        <f>'1.Metodologia'!$C$22</f>
        <v>40.19</v>
      </c>
      <c r="AK19" s="51">
        <f t="shared" si="51"/>
        <v>0</v>
      </c>
      <c r="AL19" s="107">
        <f t="shared" si="52"/>
        <v>0</v>
      </c>
      <c r="AM19" s="108">
        <f>'1.Metodologia'!$D$22</f>
        <v>0.27600000000000002</v>
      </c>
      <c r="AN19" s="54">
        <f t="shared" si="53"/>
        <v>0</v>
      </c>
      <c r="AO19" s="56"/>
      <c r="AP19" s="51">
        <f>'1.Metodologia'!$C$23</f>
        <v>15</v>
      </c>
      <c r="AQ19" s="51">
        <f t="shared" si="54"/>
        <v>0</v>
      </c>
      <c r="AR19" s="107">
        <f t="shared" si="55"/>
        <v>0</v>
      </c>
      <c r="AS19" s="108">
        <f>'1.Metodologia'!$D$23</f>
        <v>0</v>
      </c>
      <c r="AT19" s="59">
        <f t="shared" si="56"/>
        <v>0</v>
      </c>
    </row>
    <row r="20" spans="1:46" hidden="1">
      <c r="A20" s="9"/>
      <c r="B20" s="165"/>
      <c r="C20" s="166"/>
      <c r="D20" s="111"/>
      <c r="E20" s="111"/>
      <c r="F20" s="161"/>
      <c r="G20" s="56"/>
      <c r="H20" s="48">
        <f t="shared" si="37"/>
        <v>0</v>
      </c>
      <c r="I20" s="49">
        <f>'1.Metodologia'!$D$17</f>
        <v>0.83199999999999996</v>
      </c>
      <c r="J20" s="59">
        <f t="shared" si="38"/>
        <v>0</v>
      </c>
      <c r="K20" s="55"/>
      <c r="L20" s="107">
        <f t="shared" si="39"/>
        <v>0</v>
      </c>
      <c r="M20" s="108">
        <f>'1.Metodologia'!$D$18</f>
        <v>1.0999999999999999E-2</v>
      </c>
      <c r="N20" s="54">
        <f t="shared" si="40"/>
        <v>0</v>
      </c>
      <c r="O20" s="56"/>
      <c r="P20" s="51">
        <f>'1.Metodologia'!$C$19</f>
        <v>34.39</v>
      </c>
      <c r="Q20" s="51">
        <f t="shared" si="41"/>
        <v>0</v>
      </c>
      <c r="R20" s="107">
        <f t="shared" si="42"/>
        <v>0</v>
      </c>
      <c r="S20" s="108">
        <f>'1.Metodologia'!$D$19</f>
        <v>0.20100000000000001</v>
      </c>
      <c r="T20" s="59">
        <f t="shared" si="43"/>
        <v>0</v>
      </c>
      <c r="U20" s="55"/>
      <c r="V20" s="51">
        <f>'1.Metodologia'!$C$21</f>
        <v>22.37</v>
      </c>
      <c r="W20" s="51">
        <f t="shared" si="44"/>
        <v>0</v>
      </c>
      <c r="X20" s="107">
        <f t="shared" si="45"/>
        <v>0</v>
      </c>
      <c r="Y20" s="108">
        <f>'1.Metodologia'!$D$21</f>
        <v>0.34100000000000003</v>
      </c>
      <c r="Z20" s="54">
        <f t="shared" si="46"/>
        <v>0</v>
      </c>
      <c r="AA20" s="56"/>
      <c r="AB20" s="51">
        <f>'1.Metodologia'!$C$20</f>
        <v>47.31</v>
      </c>
      <c r="AC20" s="51">
        <f t="shared" si="47"/>
        <v>0</v>
      </c>
      <c r="AD20" s="107">
        <f t="shared" si="48"/>
        <v>0</v>
      </c>
      <c r="AE20" s="108">
        <f>'1.Metodologia'!$D$20</f>
        <v>0.22500000000000001</v>
      </c>
      <c r="AF20" s="54">
        <f t="shared" si="49"/>
        <v>0</v>
      </c>
      <c r="AG20" s="56"/>
      <c r="AH20" s="55">
        <v>865</v>
      </c>
      <c r="AI20" s="51">
        <f t="shared" si="50"/>
        <v>0</v>
      </c>
      <c r="AJ20" s="51">
        <f>'1.Metodologia'!$C$22</f>
        <v>40.19</v>
      </c>
      <c r="AK20" s="51">
        <f t="shared" si="51"/>
        <v>0</v>
      </c>
      <c r="AL20" s="107">
        <f t="shared" si="52"/>
        <v>0</v>
      </c>
      <c r="AM20" s="108">
        <f>'1.Metodologia'!$D$22</f>
        <v>0.27600000000000002</v>
      </c>
      <c r="AN20" s="54">
        <f t="shared" si="53"/>
        <v>0</v>
      </c>
      <c r="AO20" s="56"/>
      <c r="AP20" s="51">
        <f>'1.Metodologia'!$C$23</f>
        <v>15</v>
      </c>
      <c r="AQ20" s="51">
        <f t="shared" si="54"/>
        <v>0</v>
      </c>
      <c r="AR20" s="107">
        <f t="shared" si="55"/>
        <v>0</v>
      </c>
      <c r="AS20" s="108">
        <f>'1.Metodologia'!$D$23</f>
        <v>0</v>
      </c>
      <c r="AT20" s="59">
        <f t="shared" si="56"/>
        <v>0</v>
      </c>
    </row>
    <row r="21" spans="1:46" hidden="1">
      <c r="A21" s="9"/>
      <c r="B21" s="165"/>
      <c r="C21" s="166"/>
      <c r="D21" s="111"/>
      <c r="E21" s="111"/>
      <c r="F21" s="161"/>
      <c r="G21" s="56"/>
      <c r="H21" s="48">
        <f t="shared" si="37"/>
        <v>0</v>
      </c>
      <c r="I21" s="49">
        <f>'1.Metodologia'!$D$17</f>
        <v>0.83199999999999996</v>
      </c>
      <c r="J21" s="59">
        <f t="shared" si="38"/>
        <v>0</v>
      </c>
      <c r="K21" s="55"/>
      <c r="L21" s="107">
        <f t="shared" si="39"/>
        <v>0</v>
      </c>
      <c r="M21" s="108">
        <f>'1.Metodologia'!$D$18</f>
        <v>1.0999999999999999E-2</v>
      </c>
      <c r="N21" s="54">
        <f t="shared" si="40"/>
        <v>0</v>
      </c>
      <c r="O21" s="56"/>
      <c r="P21" s="51">
        <f>'1.Metodologia'!$C$19</f>
        <v>34.39</v>
      </c>
      <c r="Q21" s="51">
        <f t="shared" si="41"/>
        <v>0</v>
      </c>
      <c r="R21" s="107">
        <f t="shared" si="42"/>
        <v>0</v>
      </c>
      <c r="S21" s="108">
        <f>'1.Metodologia'!$D$19</f>
        <v>0.20100000000000001</v>
      </c>
      <c r="T21" s="59">
        <f t="shared" si="43"/>
        <v>0</v>
      </c>
      <c r="U21" s="55"/>
      <c r="V21" s="51">
        <f>'1.Metodologia'!$C$21</f>
        <v>22.37</v>
      </c>
      <c r="W21" s="51">
        <f t="shared" si="44"/>
        <v>0</v>
      </c>
      <c r="X21" s="107">
        <f t="shared" si="45"/>
        <v>0</v>
      </c>
      <c r="Y21" s="108">
        <f>'1.Metodologia'!$D$21</f>
        <v>0.34100000000000003</v>
      </c>
      <c r="Z21" s="54">
        <f t="shared" si="46"/>
        <v>0</v>
      </c>
      <c r="AA21" s="56"/>
      <c r="AB21" s="51">
        <f>'1.Metodologia'!$C$20</f>
        <v>47.31</v>
      </c>
      <c r="AC21" s="51">
        <f t="shared" si="47"/>
        <v>0</v>
      </c>
      <c r="AD21" s="107">
        <f t="shared" si="48"/>
        <v>0</v>
      </c>
      <c r="AE21" s="108">
        <f>'1.Metodologia'!$D$20</f>
        <v>0.22500000000000001</v>
      </c>
      <c r="AF21" s="54">
        <f t="shared" si="49"/>
        <v>0</v>
      </c>
      <c r="AG21" s="56"/>
      <c r="AH21" s="55">
        <v>866</v>
      </c>
      <c r="AI21" s="51">
        <f t="shared" si="50"/>
        <v>0</v>
      </c>
      <c r="AJ21" s="51">
        <f>'1.Metodologia'!$C$22</f>
        <v>40.19</v>
      </c>
      <c r="AK21" s="51">
        <f t="shared" si="51"/>
        <v>0</v>
      </c>
      <c r="AL21" s="107">
        <f t="shared" si="52"/>
        <v>0</v>
      </c>
      <c r="AM21" s="108">
        <f>'1.Metodologia'!$D$22</f>
        <v>0.27600000000000002</v>
      </c>
      <c r="AN21" s="54">
        <f t="shared" si="53"/>
        <v>0</v>
      </c>
      <c r="AO21" s="56"/>
      <c r="AP21" s="51">
        <f>'1.Metodologia'!$C$23</f>
        <v>15</v>
      </c>
      <c r="AQ21" s="51">
        <f t="shared" si="54"/>
        <v>0</v>
      </c>
      <c r="AR21" s="107">
        <f t="shared" si="55"/>
        <v>0</v>
      </c>
      <c r="AS21" s="108">
        <f>'1.Metodologia'!$D$23</f>
        <v>0</v>
      </c>
      <c r="AT21" s="59">
        <f t="shared" si="56"/>
        <v>0</v>
      </c>
    </row>
    <row r="22" spans="1:46" hidden="1">
      <c r="A22" s="9"/>
      <c r="B22" s="165"/>
      <c r="C22" s="166"/>
      <c r="D22" s="111"/>
      <c r="E22" s="111"/>
      <c r="F22" s="161"/>
      <c r="G22" s="56"/>
      <c r="H22" s="48">
        <f t="shared" si="37"/>
        <v>0</v>
      </c>
      <c r="I22" s="49">
        <f>'1.Metodologia'!$D$17</f>
        <v>0.83199999999999996</v>
      </c>
      <c r="J22" s="59">
        <f t="shared" si="38"/>
        <v>0</v>
      </c>
      <c r="K22" s="55"/>
      <c r="L22" s="107">
        <f t="shared" si="39"/>
        <v>0</v>
      </c>
      <c r="M22" s="108">
        <f>'1.Metodologia'!$D$18</f>
        <v>1.0999999999999999E-2</v>
      </c>
      <c r="N22" s="54">
        <f t="shared" si="40"/>
        <v>0</v>
      </c>
      <c r="O22" s="56"/>
      <c r="P22" s="51">
        <f>'1.Metodologia'!$C$19</f>
        <v>34.39</v>
      </c>
      <c r="Q22" s="51">
        <f t="shared" si="41"/>
        <v>0</v>
      </c>
      <c r="R22" s="107">
        <f t="shared" si="42"/>
        <v>0</v>
      </c>
      <c r="S22" s="108">
        <f>'1.Metodologia'!$D$19</f>
        <v>0.20100000000000001</v>
      </c>
      <c r="T22" s="59">
        <f t="shared" si="43"/>
        <v>0</v>
      </c>
      <c r="U22" s="55"/>
      <c r="V22" s="51">
        <f>'1.Metodologia'!$C$21</f>
        <v>22.37</v>
      </c>
      <c r="W22" s="51">
        <f t="shared" si="44"/>
        <v>0</v>
      </c>
      <c r="X22" s="107">
        <f t="shared" si="45"/>
        <v>0</v>
      </c>
      <c r="Y22" s="108">
        <f>'1.Metodologia'!$D$21</f>
        <v>0.34100000000000003</v>
      </c>
      <c r="Z22" s="54">
        <f t="shared" si="46"/>
        <v>0</v>
      </c>
      <c r="AA22" s="56"/>
      <c r="AB22" s="51">
        <f>'1.Metodologia'!$C$20</f>
        <v>47.31</v>
      </c>
      <c r="AC22" s="51">
        <f t="shared" si="47"/>
        <v>0</v>
      </c>
      <c r="AD22" s="107">
        <f t="shared" si="48"/>
        <v>0</v>
      </c>
      <c r="AE22" s="108">
        <f>'1.Metodologia'!$D$20</f>
        <v>0.22500000000000001</v>
      </c>
      <c r="AF22" s="54">
        <f t="shared" si="49"/>
        <v>0</v>
      </c>
      <c r="AG22" s="56"/>
      <c r="AH22" s="55">
        <v>867</v>
      </c>
      <c r="AI22" s="51">
        <f t="shared" si="50"/>
        <v>0</v>
      </c>
      <c r="AJ22" s="51">
        <f>'1.Metodologia'!$C$22</f>
        <v>40.19</v>
      </c>
      <c r="AK22" s="51">
        <f t="shared" si="51"/>
        <v>0</v>
      </c>
      <c r="AL22" s="107">
        <f t="shared" si="52"/>
        <v>0</v>
      </c>
      <c r="AM22" s="108">
        <f>'1.Metodologia'!$D$22</f>
        <v>0.27600000000000002</v>
      </c>
      <c r="AN22" s="54">
        <f t="shared" si="53"/>
        <v>0</v>
      </c>
      <c r="AO22" s="56"/>
      <c r="AP22" s="51">
        <f>'1.Metodologia'!$C$23</f>
        <v>15</v>
      </c>
      <c r="AQ22" s="51">
        <f t="shared" si="54"/>
        <v>0</v>
      </c>
      <c r="AR22" s="107">
        <f t="shared" si="55"/>
        <v>0</v>
      </c>
      <c r="AS22" s="108">
        <f>'1.Metodologia'!$D$23</f>
        <v>0</v>
      </c>
      <c r="AT22" s="59">
        <f t="shared" si="56"/>
        <v>0</v>
      </c>
    </row>
    <row r="23" spans="1:46" ht="12.95" hidden="1" customHeight="1">
      <c r="A23" s="9"/>
      <c r="B23" s="165"/>
      <c r="C23" s="166"/>
      <c r="D23" s="111"/>
      <c r="E23" s="111"/>
      <c r="F23" s="158"/>
      <c r="G23" s="56"/>
      <c r="H23" s="48">
        <f t="shared" si="37"/>
        <v>0</v>
      </c>
      <c r="I23" s="49">
        <f>'1.Metodologia'!$D$17</f>
        <v>0.83199999999999996</v>
      </c>
      <c r="J23" s="59">
        <f t="shared" si="38"/>
        <v>0</v>
      </c>
      <c r="K23" s="55"/>
      <c r="L23" s="107">
        <f t="shared" si="39"/>
        <v>0</v>
      </c>
      <c r="M23" s="108">
        <f>'1.Metodologia'!$D$18</f>
        <v>1.0999999999999999E-2</v>
      </c>
      <c r="N23" s="54">
        <f t="shared" si="40"/>
        <v>0</v>
      </c>
      <c r="O23" s="56"/>
      <c r="P23" s="51">
        <f>'1.Metodologia'!$C$19</f>
        <v>34.39</v>
      </c>
      <c r="Q23" s="51">
        <f t="shared" si="41"/>
        <v>0</v>
      </c>
      <c r="R23" s="107">
        <f t="shared" si="42"/>
        <v>0</v>
      </c>
      <c r="S23" s="108">
        <f>'1.Metodologia'!$D$19</f>
        <v>0.20100000000000001</v>
      </c>
      <c r="T23" s="59">
        <f t="shared" si="43"/>
        <v>0</v>
      </c>
      <c r="U23" s="55"/>
      <c r="V23" s="51">
        <f>'1.Metodologia'!$C$21</f>
        <v>22.37</v>
      </c>
      <c r="W23" s="51">
        <f t="shared" si="44"/>
        <v>0</v>
      </c>
      <c r="X23" s="107">
        <f t="shared" si="45"/>
        <v>0</v>
      </c>
      <c r="Y23" s="108">
        <f>'1.Metodologia'!$D$21</f>
        <v>0.34100000000000003</v>
      </c>
      <c r="Z23" s="54">
        <f t="shared" si="46"/>
        <v>0</v>
      </c>
      <c r="AA23" s="56"/>
      <c r="AB23" s="51">
        <f>'1.Metodologia'!$C$20</f>
        <v>47.31</v>
      </c>
      <c r="AC23" s="51">
        <f t="shared" si="47"/>
        <v>0</v>
      </c>
      <c r="AD23" s="107">
        <f t="shared" si="48"/>
        <v>0</v>
      </c>
      <c r="AE23" s="108">
        <f>'1.Metodologia'!$D$20</f>
        <v>0.22500000000000001</v>
      </c>
      <c r="AF23" s="54">
        <f t="shared" si="49"/>
        <v>0</v>
      </c>
      <c r="AG23" s="56"/>
      <c r="AH23" s="55">
        <v>868</v>
      </c>
      <c r="AI23" s="51">
        <f t="shared" si="50"/>
        <v>0</v>
      </c>
      <c r="AJ23" s="51">
        <f>'1.Metodologia'!$C$22</f>
        <v>40.19</v>
      </c>
      <c r="AK23" s="51">
        <f t="shared" si="51"/>
        <v>0</v>
      </c>
      <c r="AL23" s="107">
        <f t="shared" si="52"/>
        <v>0</v>
      </c>
      <c r="AM23" s="108">
        <f>'1.Metodologia'!$D$22</f>
        <v>0.27600000000000002</v>
      </c>
      <c r="AN23" s="54">
        <f t="shared" si="53"/>
        <v>0</v>
      </c>
      <c r="AO23" s="56"/>
      <c r="AP23" s="51">
        <f>'1.Metodologia'!$C$23</f>
        <v>15</v>
      </c>
      <c r="AQ23" s="51">
        <f t="shared" si="54"/>
        <v>0</v>
      </c>
      <c r="AR23" s="107">
        <f t="shared" si="55"/>
        <v>0</v>
      </c>
      <c r="AS23" s="108">
        <f>'1.Metodologia'!$D$23</f>
        <v>0</v>
      </c>
      <c r="AT23" s="59">
        <f t="shared" si="56"/>
        <v>0</v>
      </c>
    </row>
    <row r="24" spans="1:46" ht="12.95" hidden="1" customHeight="1">
      <c r="A24" s="9"/>
      <c r="B24" s="165"/>
      <c r="C24" s="166"/>
      <c r="D24" s="111"/>
      <c r="E24" s="111"/>
      <c r="F24" s="158"/>
      <c r="G24" s="57"/>
      <c r="H24" s="48">
        <f t="shared" si="20"/>
        <v>0</v>
      </c>
      <c r="I24" s="49">
        <f>'1.Metodologia'!$D$17</f>
        <v>0.83199999999999996</v>
      </c>
      <c r="J24" s="50">
        <f t="shared" si="21"/>
        <v>0</v>
      </c>
      <c r="K24" s="55"/>
      <c r="L24" s="52">
        <f t="shared" si="22"/>
        <v>0</v>
      </c>
      <c r="M24" s="53">
        <f>'1.Metodologia'!$D$18</f>
        <v>1.0999999999999999E-2</v>
      </c>
      <c r="N24" s="54">
        <f t="shared" si="23"/>
        <v>0</v>
      </c>
      <c r="O24" s="56"/>
      <c r="P24" s="51">
        <f>'1.Metodologia'!$C$19</f>
        <v>34.39</v>
      </c>
      <c r="Q24" s="51">
        <f t="shared" si="24"/>
        <v>0</v>
      </c>
      <c r="R24" s="52">
        <f t="shared" si="25"/>
        <v>0</v>
      </c>
      <c r="S24" s="53">
        <f>'1.Metodologia'!$D$19</f>
        <v>0.20100000000000001</v>
      </c>
      <c r="T24" s="50">
        <f t="shared" si="26"/>
        <v>0</v>
      </c>
      <c r="U24" s="55"/>
      <c r="V24" s="51">
        <f>'1.Metodologia'!$C$21</f>
        <v>22.37</v>
      </c>
      <c r="W24" s="51">
        <f t="shared" si="27"/>
        <v>0</v>
      </c>
      <c r="X24" s="52">
        <f t="shared" si="28"/>
        <v>0</v>
      </c>
      <c r="Y24" s="53">
        <f>'1.Metodologia'!$D$21</f>
        <v>0.34100000000000003</v>
      </c>
      <c r="Z24" s="54">
        <f t="shared" si="29"/>
        <v>0</v>
      </c>
      <c r="AA24" s="56"/>
      <c r="AB24" s="51">
        <f>'1.Metodologia'!$C$20</f>
        <v>47.31</v>
      </c>
      <c r="AC24" s="51">
        <f t="shared" si="30"/>
        <v>0</v>
      </c>
      <c r="AD24" s="52">
        <f t="shared" si="31"/>
        <v>0</v>
      </c>
      <c r="AE24" s="53">
        <f>'1.Metodologia'!$D$20</f>
        <v>0.22500000000000001</v>
      </c>
      <c r="AF24" s="54">
        <f t="shared" si="32"/>
        <v>0</v>
      </c>
      <c r="AG24" s="56"/>
      <c r="AH24" s="55">
        <v>860</v>
      </c>
      <c r="AI24" s="51">
        <f t="shared" si="33"/>
        <v>0</v>
      </c>
      <c r="AJ24" s="51">
        <f>'1.Metodologia'!$C$22</f>
        <v>40.19</v>
      </c>
      <c r="AK24" s="51">
        <f t="shared" si="34"/>
        <v>0</v>
      </c>
      <c r="AL24" s="52">
        <f t="shared" si="35"/>
        <v>0</v>
      </c>
      <c r="AM24" s="53">
        <f>'1.Metodologia'!$D$22</f>
        <v>0.27600000000000002</v>
      </c>
      <c r="AN24" s="54">
        <f t="shared" si="36"/>
        <v>0</v>
      </c>
      <c r="AO24" s="56"/>
      <c r="AP24" s="51">
        <f>'1.Metodologia'!$C$23</f>
        <v>15</v>
      </c>
      <c r="AQ24" s="51">
        <f t="shared" si="54"/>
        <v>0</v>
      </c>
      <c r="AR24" s="107">
        <f t="shared" si="55"/>
        <v>0</v>
      </c>
      <c r="AS24" s="108">
        <f>'1.Metodologia'!$D$23</f>
        <v>0</v>
      </c>
      <c r="AT24" s="59">
        <f t="shared" si="56"/>
        <v>0</v>
      </c>
    </row>
    <row r="25" spans="1:46" ht="12.95" hidden="1" customHeight="1">
      <c r="A25" s="9"/>
      <c r="B25" s="165"/>
      <c r="C25" s="166"/>
      <c r="D25" s="111"/>
      <c r="E25" s="111"/>
      <c r="F25" s="158"/>
      <c r="G25" s="57"/>
      <c r="H25" s="48">
        <f t="shared" si="20"/>
        <v>0</v>
      </c>
      <c r="I25" s="49">
        <f>'1.Metodologia'!$D$17</f>
        <v>0.83199999999999996</v>
      </c>
      <c r="J25" s="50">
        <f t="shared" si="21"/>
        <v>0</v>
      </c>
      <c r="K25" s="55"/>
      <c r="L25" s="52">
        <f t="shared" si="22"/>
        <v>0</v>
      </c>
      <c r="M25" s="53">
        <f>'1.Metodologia'!$D$18</f>
        <v>1.0999999999999999E-2</v>
      </c>
      <c r="N25" s="54">
        <f t="shared" si="23"/>
        <v>0</v>
      </c>
      <c r="O25" s="56"/>
      <c r="P25" s="51">
        <f>'1.Metodologia'!$C$19</f>
        <v>34.39</v>
      </c>
      <c r="Q25" s="51">
        <f t="shared" si="24"/>
        <v>0</v>
      </c>
      <c r="R25" s="52">
        <f t="shared" si="25"/>
        <v>0</v>
      </c>
      <c r="S25" s="53">
        <f>'1.Metodologia'!$D$19</f>
        <v>0.20100000000000001</v>
      </c>
      <c r="T25" s="50">
        <f t="shared" si="26"/>
        <v>0</v>
      </c>
      <c r="U25" s="55"/>
      <c r="V25" s="51">
        <f>'1.Metodologia'!$C$21</f>
        <v>22.37</v>
      </c>
      <c r="W25" s="51">
        <f t="shared" si="27"/>
        <v>0</v>
      </c>
      <c r="X25" s="52">
        <f t="shared" si="28"/>
        <v>0</v>
      </c>
      <c r="Y25" s="53">
        <f>'1.Metodologia'!$D$21</f>
        <v>0.34100000000000003</v>
      </c>
      <c r="Z25" s="54">
        <f t="shared" si="29"/>
        <v>0</v>
      </c>
      <c r="AA25" s="56"/>
      <c r="AB25" s="51">
        <f>'1.Metodologia'!$C$20</f>
        <v>47.31</v>
      </c>
      <c r="AC25" s="51">
        <f t="shared" si="30"/>
        <v>0</v>
      </c>
      <c r="AD25" s="52">
        <f t="shared" si="31"/>
        <v>0</v>
      </c>
      <c r="AE25" s="53">
        <f>'1.Metodologia'!$D$20</f>
        <v>0.22500000000000001</v>
      </c>
      <c r="AF25" s="54">
        <f t="shared" si="32"/>
        <v>0</v>
      </c>
      <c r="AG25" s="56"/>
      <c r="AH25" s="55">
        <v>860</v>
      </c>
      <c r="AI25" s="51">
        <f t="shared" si="33"/>
        <v>0</v>
      </c>
      <c r="AJ25" s="51">
        <f>'1.Metodologia'!$C$22</f>
        <v>40.19</v>
      </c>
      <c r="AK25" s="51">
        <f t="shared" si="34"/>
        <v>0</v>
      </c>
      <c r="AL25" s="52">
        <f t="shared" si="35"/>
        <v>0</v>
      </c>
      <c r="AM25" s="53">
        <f>'1.Metodologia'!$D$22</f>
        <v>0.27600000000000002</v>
      </c>
      <c r="AN25" s="54">
        <f t="shared" si="36"/>
        <v>0</v>
      </c>
      <c r="AO25" s="56"/>
      <c r="AP25" s="51">
        <f>'1.Metodologia'!$C$23</f>
        <v>15</v>
      </c>
      <c r="AQ25" s="51">
        <f t="shared" si="54"/>
        <v>0</v>
      </c>
      <c r="AR25" s="107">
        <f t="shared" si="55"/>
        <v>0</v>
      </c>
      <c r="AS25" s="108">
        <f>'1.Metodologia'!$D$23</f>
        <v>0</v>
      </c>
      <c r="AT25" s="59">
        <f t="shared" si="56"/>
        <v>0</v>
      </c>
    </row>
    <row r="26" spans="1:46" ht="12.95" hidden="1" customHeight="1">
      <c r="A26" s="9"/>
      <c r="B26" s="165"/>
      <c r="C26" s="166"/>
      <c r="D26" s="111"/>
      <c r="E26" s="111"/>
      <c r="F26" s="158"/>
      <c r="G26" s="60"/>
      <c r="H26" s="48">
        <f t="shared" si="20"/>
        <v>0</v>
      </c>
      <c r="I26" s="49">
        <f>'1.Metodologia'!$D$17</f>
        <v>0.83199999999999996</v>
      </c>
      <c r="J26" s="50">
        <f t="shared" si="21"/>
        <v>0</v>
      </c>
      <c r="K26" s="55"/>
      <c r="L26" s="52">
        <f t="shared" si="22"/>
        <v>0</v>
      </c>
      <c r="M26" s="53">
        <f>'1.Metodologia'!$D$18</f>
        <v>1.0999999999999999E-2</v>
      </c>
      <c r="N26" s="54">
        <f t="shared" si="23"/>
        <v>0</v>
      </c>
      <c r="O26" s="56"/>
      <c r="P26" s="51">
        <f>'1.Metodologia'!$C$19</f>
        <v>34.39</v>
      </c>
      <c r="Q26" s="51">
        <f t="shared" si="24"/>
        <v>0</v>
      </c>
      <c r="R26" s="52">
        <f t="shared" si="25"/>
        <v>0</v>
      </c>
      <c r="S26" s="53">
        <f>'1.Metodologia'!$D$19</f>
        <v>0.20100000000000001</v>
      </c>
      <c r="T26" s="50">
        <f t="shared" si="26"/>
        <v>0</v>
      </c>
      <c r="U26" s="55"/>
      <c r="V26" s="51">
        <f>'1.Metodologia'!$C$21</f>
        <v>22.37</v>
      </c>
      <c r="W26" s="51">
        <f t="shared" si="27"/>
        <v>0</v>
      </c>
      <c r="X26" s="52">
        <f t="shared" si="28"/>
        <v>0</v>
      </c>
      <c r="Y26" s="53">
        <f>'1.Metodologia'!$D$21</f>
        <v>0.34100000000000003</v>
      </c>
      <c r="Z26" s="54">
        <f t="shared" si="29"/>
        <v>0</v>
      </c>
      <c r="AA26" s="56"/>
      <c r="AB26" s="51">
        <f>'1.Metodologia'!$C$20</f>
        <v>47.31</v>
      </c>
      <c r="AC26" s="51">
        <f t="shared" si="30"/>
        <v>0</v>
      </c>
      <c r="AD26" s="52">
        <f t="shared" si="31"/>
        <v>0</v>
      </c>
      <c r="AE26" s="53">
        <f>'1.Metodologia'!$D$20</f>
        <v>0.22500000000000001</v>
      </c>
      <c r="AF26" s="54">
        <f t="shared" si="32"/>
        <v>0</v>
      </c>
      <c r="AG26" s="56"/>
      <c r="AH26" s="55">
        <v>860</v>
      </c>
      <c r="AI26" s="51">
        <f t="shared" si="33"/>
        <v>0</v>
      </c>
      <c r="AJ26" s="51">
        <f>'1.Metodologia'!$C$22</f>
        <v>40.19</v>
      </c>
      <c r="AK26" s="51">
        <f t="shared" si="34"/>
        <v>0</v>
      </c>
      <c r="AL26" s="52">
        <f t="shared" si="35"/>
        <v>0</v>
      </c>
      <c r="AM26" s="53">
        <f>'1.Metodologia'!$D$22</f>
        <v>0.27600000000000002</v>
      </c>
      <c r="AN26" s="54">
        <f t="shared" si="36"/>
        <v>0</v>
      </c>
      <c r="AO26" s="56"/>
      <c r="AP26" s="51">
        <f>'1.Metodologia'!$C$23</f>
        <v>15</v>
      </c>
      <c r="AQ26" s="51">
        <f t="shared" si="54"/>
        <v>0</v>
      </c>
      <c r="AR26" s="107">
        <f t="shared" si="55"/>
        <v>0</v>
      </c>
      <c r="AS26" s="108">
        <f>'1.Metodologia'!$D$23</f>
        <v>0</v>
      </c>
      <c r="AT26" s="59">
        <f t="shared" si="56"/>
        <v>0</v>
      </c>
    </row>
    <row r="27" spans="1:46" ht="12.95" hidden="1" customHeight="1">
      <c r="A27" s="9"/>
      <c r="B27" s="165"/>
      <c r="C27" s="166"/>
      <c r="D27" s="111"/>
      <c r="E27" s="111"/>
      <c r="F27" s="158"/>
      <c r="G27" s="56"/>
      <c r="H27" s="48">
        <f t="shared" si="20"/>
        <v>0</v>
      </c>
      <c r="I27" s="49">
        <f>'1.Metodologia'!$D$17</f>
        <v>0.83199999999999996</v>
      </c>
      <c r="J27" s="50">
        <f t="shared" si="21"/>
        <v>0</v>
      </c>
      <c r="K27" s="55"/>
      <c r="L27" s="52">
        <f t="shared" si="22"/>
        <v>0</v>
      </c>
      <c r="M27" s="53">
        <f>'1.Metodologia'!$D$18</f>
        <v>1.0999999999999999E-2</v>
      </c>
      <c r="N27" s="54">
        <f t="shared" si="23"/>
        <v>0</v>
      </c>
      <c r="O27" s="56"/>
      <c r="P27" s="51">
        <f>'1.Metodologia'!$C$19</f>
        <v>34.39</v>
      </c>
      <c r="Q27" s="51">
        <f t="shared" si="24"/>
        <v>0</v>
      </c>
      <c r="R27" s="52">
        <f t="shared" si="25"/>
        <v>0</v>
      </c>
      <c r="S27" s="53">
        <f>'1.Metodologia'!$D$19</f>
        <v>0.20100000000000001</v>
      </c>
      <c r="T27" s="50">
        <f t="shared" si="26"/>
        <v>0</v>
      </c>
      <c r="U27" s="55"/>
      <c r="V27" s="51">
        <f>'1.Metodologia'!$C$21</f>
        <v>22.37</v>
      </c>
      <c r="W27" s="51">
        <f t="shared" si="27"/>
        <v>0</v>
      </c>
      <c r="X27" s="52">
        <f t="shared" si="28"/>
        <v>0</v>
      </c>
      <c r="Y27" s="53">
        <f>'1.Metodologia'!$D$21</f>
        <v>0.34100000000000003</v>
      </c>
      <c r="Z27" s="54">
        <f t="shared" si="29"/>
        <v>0</v>
      </c>
      <c r="AA27" s="56"/>
      <c r="AB27" s="51">
        <f>'1.Metodologia'!$C$20</f>
        <v>47.31</v>
      </c>
      <c r="AC27" s="51">
        <f t="shared" si="30"/>
        <v>0</v>
      </c>
      <c r="AD27" s="52">
        <f t="shared" si="31"/>
        <v>0</v>
      </c>
      <c r="AE27" s="53">
        <f>'1.Metodologia'!$D$20</f>
        <v>0.22500000000000001</v>
      </c>
      <c r="AF27" s="54">
        <f t="shared" si="32"/>
        <v>0</v>
      </c>
      <c r="AG27" s="56"/>
      <c r="AH27" s="55">
        <v>860</v>
      </c>
      <c r="AI27" s="51">
        <f t="shared" si="33"/>
        <v>0</v>
      </c>
      <c r="AJ27" s="51">
        <f>'1.Metodologia'!$C$22</f>
        <v>40.19</v>
      </c>
      <c r="AK27" s="51">
        <f t="shared" si="34"/>
        <v>0</v>
      </c>
      <c r="AL27" s="52">
        <f t="shared" si="35"/>
        <v>0</v>
      </c>
      <c r="AM27" s="53">
        <f>'1.Metodologia'!$D$22</f>
        <v>0.27600000000000002</v>
      </c>
      <c r="AN27" s="54">
        <f t="shared" si="36"/>
        <v>0</v>
      </c>
      <c r="AO27" s="56"/>
      <c r="AP27" s="51">
        <f>'1.Metodologia'!$C$23</f>
        <v>15</v>
      </c>
      <c r="AQ27" s="51">
        <f t="shared" si="54"/>
        <v>0</v>
      </c>
      <c r="AR27" s="107">
        <f t="shared" si="55"/>
        <v>0</v>
      </c>
      <c r="AS27" s="108">
        <f>'1.Metodologia'!$D$23</f>
        <v>0</v>
      </c>
      <c r="AT27" s="59">
        <f t="shared" si="56"/>
        <v>0</v>
      </c>
    </row>
    <row r="28" spans="1:46" ht="12.95" hidden="1" customHeight="1">
      <c r="A28" s="9"/>
      <c r="B28" s="165"/>
      <c r="C28" s="166"/>
      <c r="D28" s="111"/>
      <c r="E28" s="111"/>
      <c r="F28" s="158"/>
      <c r="G28" s="56"/>
      <c r="H28" s="48">
        <f t="shared" si="20"/>
        <v>0</v>
      </c>
      <c r="I28" s="49">
        <f>'1.Metodologia'!$D$17</f>
        <v>0.83199999999999996</v>
      </c>
      <c r="J28" s="50">
        <f t="shared" si="21"/>
        <v>0</v>
      </c>
      <c r="K28" s="55"/>
      <c r="L28" s="52">
        <f t="shared" si="22"/>
        <v>0</v>
      </c>
      <c r="M28" s="53">
        <f>'1.Metodologia'!$D$18</f>
        <v>1.0999999999999999E-2</v>
      </c>
      <c r="N28" s="54">
        <f t="shared" si="23"/>
        <v>0</v>
      </c>
      <c r="O28" s="56"/>
      <c r="P28" s="51">
        <f>'1.Metodologia'!$C$19</f>
        <v>34.39</v>
      </c>
      <c r="Q28" s="51">
        <f t="shared" si="24"/>
        <v>0</v>
      </c>
      <c r="R28" s="52">
        <f t="shared" si="25"/>
        <v>0</v>
      </c>
      <c r="S28" s="53">
        <f>'1.Metodologia'!$D$19</f>
        <v>0.20100000000000001</v>
      </c>
      <c r="T28" s="50">
        <f t="shared" si="26"/>
        <v>0</v>
      </c>
      <c r="U28" s="55"/>
      <c r="V28" s="51">
        <f>'1.Metodologia'!$C$21</f>
        <v>22.37</v>
      </c>
      <c r="W28" s="51">
        <f t="shared" si="27"/>
        <v>0</v>
      </c>
      <c r="X28" s="52">
        <f t="shared" si="28"/>
        <v>0</v>
      </c>
      <c r="Y28" s="53">
        <f>'1.Metodologia'!$D$21</f>
        <v>0.34100000000000003</v>
      </c>
      <c r="Z28" s="54">
        <f t="shared" si="29"/>
        <v>0</v>
      </c>
      <c r="AA28" s="56"/>
      <c r="AB28" s="51">
        <f>'1.Metodologia'!$C$20</f>
        <v>47.31</v>
      </c>
      <c r="AC28" s="51">
        <f t="shared" si="30"/>
        <v>0</v>
      </c>
      <c r="AD28" s="52">
        <f t="shared" si="31"/>
        <v>0</v>
      </c>
      <c r="AE28" s="53">
        <f>'1.Metodologia'!$D$20</f>
        <v>0.22500000000000001</v>
      </c>
      <c r="AF28" s="54">
        <f t="shared" si="32"/>
        <v>0</v>
      </c>
      <c r="AG28" s="56"/>
      <c r="AH28" s="55">
        <v>860</v>
      </c>
      <c r="AI28" s="51">
        <f t="shared" si="33"/>
        <v>0</v>
      </c>
      <c r="AJ28" s="51">
        <f>'1.Metodologia'!$C$22</f>
        <v>40.19</v>
      </c>
      <c r="AK28" s="51">
        <f t="shared" si="34"/>
        <v>0</v>
      </c>
      <c r="AL28" s="52">
        <f t="shared" si="35"/>
        <v>0</v>
      </c>
      <c r="AM28" s="53">
        <f>'1.Metodologia'!$D$22</f>
        <v>0.27600000000000002</v>
      </c>
      <c r="AN28" s="54">
        <f t="shared" si="36"/>
        <v>0</v>
      </c>
      <c r="AO28" s="56"/>
      <c r="AP28" s="51">
        <f>'1.Metodologia'!$C$23</f>
        <v>15</v>
      </c>
      <c r="AQ28" s="51">
        <f t="shared" si="54"/>
        <v>0</v>
      </c>
      <c r="AR28" s="107">
        <f t="shared" si="55"/>
        <v>0</v>
      </c>
      <c r="AS28" s="108">
        <f>'1.Metodologia'!$D$23</f>
        <v>0</v>
      </c>
      <c r="AT28" s="59">
        <f t="shared" si="56"/>
        <v>0</v>
      </c>
    </row>
    <row r="29" spans="1:46" ht="12.95" hidden="1" customHeight="1">
      <c r="A29" s="9"/>
      <c r="B29" s="165"/>
      <c r="C29" s="166"/>
      <c r="D29" s="111"/>
      <c r="E29" s="111"/>
      <c r="F29" s="158"/>
      <c r="G29" s="56"/>
      <c r="H29" s="48">
        <f t="shared" si="20"/>
        <v>0</v>
      </c>
      <c r="I29" s="49">
        <f>'1.Metodologia'!$D$17</f>
        <v>0.83199999999999996</v>
      </c>
      <c r="J29" s="50">
        <f t="shared" si="21"/>
        <v>0</v>
      </c>
      <c r="K29" s="55"/>
      <c r="L29" s="52">
        <f t="shared" si="22"/>
        <v>0</v>
      </c>
      <c r="M29" s="53">
        <f>'1.Metodologia'!$D$18</f>
        <v>1.0999999999999999E-2</v>
      </c>
      <c r="N29" s="54">
        <f t="shared" si="23"/>
        <v>0</v>
      </c>
      <c r="O29" s="56"/>
      <c r="P29" s="51">
        <f>'1.Metodologia'!$C$19</f>
        <v>34.39</v>
      </c>
      <c r="Q29" s="51">
        <f t="shared" si="24"/>
        <v>0</v>
      </c>
      <c r="R29" s="52">
        <f t="shared" si="25"/>
        <v>0</v>
      </c>
      <c r="S29" s="53">
        <f>'1.Metodologia'!$D$19</f>
        <v>0.20100000000000001</v>
      </c>
      <c r="T29" s="50">
        <f t="shared" si="26"/>
        <v>0</v>
      </c>
      <c r="U29" s="55"/>
      <c r="V29" s="51">
        <f>'1.Metodologia'!$C$21</f>
        <v>22.37</v>
      </c>
      <c r="W29" s="51">
        <f t="shared" si="27"/>
        <v>0</v>
      </c>
      <c r="X29" s="52">
        <f t="shared" si="28"/>
        <v>0</v>
      </c>
      <c r="Y29" s="53">
        <f>'1.Metodologia'!$D$21</f>
        <v>0.34100000000000003</v>
      </c>
      <c r="Z29" s="54">
        <f t="shared" si="29"/>
        <v>0</v>
      </c>
      <c r="AA29" s="56"/>
      <c r="AB29" s="51">
        <f>'1.Metodologia'!$C$20</f>
        <v>47.31</v>
      </c>
      <c r="AC29" s="51">
        <f t="shared" si="30"/>
        <v>0</v>
      </c>
      <c r="AD29" s="52">
        <f t="shared" si="31"/>
        <v>0</v>
      </c>
      <c r="AE29" s="53">
        <f>'1.Metodologia'!$D$20</f>
        <v>0.22500000000000001</v>
      </c>
      <c r="AF29" s="54">
        <f t="shared" si="32"/>
        <v>0</v>
      </c>
      <c r="AG29" s="56"/>
      <c r="AH29" s="55">
        <v>860</v>
      </c>
      <c r="AI29" s="51">
        <f t="shared" si="33"/>
        <v>0</v>
      </c>
      <c r="AJ29" s="51">
        <f>'1.Metodologia'!$C$22</f>
        <v>40.19</v>
      </c>
      <c r="AK29" s="51">
        <f t="shared" ref="AK29:AK42" si="57">AI29*AJ29</f>
        <v>0</v>
      </c>
      <c r="AL29" s="52">
        <f t="shared" si="35"/>
        <v>0</v>
      </c>
      <c r="AM29" s="53">
        <f>'1.Metodologia'!$D$22</f>
        <v>0.27600000000000002</v>
      </c>
      <c r="AN29" s="54">
        <f t="shared" ref="AN29:AN42" si="58">AL29*AM29</f>
        <v>0</v>
      </c>
      <c r="AO29" s="56"/>
      <c r="AP29" s="51">
        <f>'1.Metodologia'!$C$23</f>
        <v>15</v>
      </c>
      <c r="AQ29" s="51">
        <f t="shared" si="54"/>
        <v>0</v>
      </c>
      <c r="AR29" s="107">
        <f t="shared" si="55"/>
        <v>0</v>
      </c>
      <c r="AS29" s="108">
        <f>'1.Metodologia'!$D$23</f>
        <v>0</v>
      </c>
      <c r="AT29" s="59">
        <f t="shared" si="56"/>
        <v>0</v>
      </c>
    </row>
    <row r="30" spans="1:46" ht="12.95" hidden="1" customHeight="1">
      <c r="A30" s="9"/>
      <c r="B30" s="165"/>
      <c r="C30" s="166"/>
      <c r="D30" s="111"/>
      <c r="E30" s="111"/>
      <c r="F30" s="158"/>
      <c r="G30" s="56"/>
      <c r="H30" s="48">
        <f t="shared" si="20"/>
        <v>0</v>
      </c>
      <c r="I30" s="49">
        <f>'1.Metodologia'!$D$17</f>
        <v>0.83199999999999996</v>
      </c>
      <c r="J30" s="50">
        <f t="shared" si="21"/>
        <v>0</v>
      </c>
      <c r="K30" s="55"/>
      <c r="L30" s="52">
        <f t="shared" si="22"/>
        <v>0</v>
      </c>
      <c r="M30" s="53">
        <f>'1.Metodologia'!$D$18</f>
        <v>1.0999999999999999E-2</v>
      </c>
      <c r="N30" s="54">
        <f t="shared" si="23"/>
        <v>0</v>
      </c>
      <c r="O30" s="56"/>
      <c r="P30" s="51">
        <f>'1.Metodologia'!$C$19</f>
        <v>34.39</v>
      </c>
      <c r="Q30" s="51">
        <f t="shared" si="24"/>
        <v>0</v>
      </c>
      <c r="R30" s="52">
        <f t="shared" si="25"/>
        <v>0</v>
      </c>
      <c r="S30" s="53">
        <f>'1.Metodologia'!$D$19</f>
        <v>0.20100000000000001</v>
      </c>
      <c r="T30" s="50">
        <f t="shared" si="26"/>
        <v>0</v>
      </c>
      <c r="U30" s="55"/>
      <c r="V30" s="51">
        <f>'1.Metodologia'!$C$21</f>
        <v>22.37</v>
      </c>
      <c r="W30" s="51">
        <f t="shared" si="27"/>
        <v>0</v>
      </c>
      <c r="X30" s="52">
        <f t="shared" si="28"/>
        <v>0</v>
      </c>
      <c r="Y30" s="53">
        <f>'1.Metodologia'!$D$21</f>
        <v>0.34100000000000003</v>
      </c>
      <c r="Z30" s="54">
        <f t="shared" si="29"/>
        <v>0</v>
      </c>
      <c r="AA30" s="56"/>
      <c r="AB30" s="51">
        <f>'1.Metodologia'!$C$20</f>
        <v>47.31</v>
      </c>
      <c r="AC30" s="51">
        <f t="shared" si="30"/>
        <v>0</v>
      </c>
      <c r="AD30" s="52">
        <f t="shared" si="31"/>
        <v>0</v>
      </c>
      <c r="AE30" s="53">
        <f>'1.Metodologia'!$D$20</f>
        <v>0.22500000000000001</v>
      </c>
      <c r="AF30" s="54">
        <f t="shared" si="32"/>
        <v>0</v>
      </c>
      <c r="AG30" s="56"/>
      <c r="AH30" s="55">
        <v>860</v>
      </c>
      <c r="AI30" s="51">
        <f t="shared" si="33"/>
        <v>0</v>
      </c>
      <c r="AJ30" s="51">
        <f>'1.Metodologia'!$C$22</f>
        <v>40.19</v>
      </c>
      <c r="AK30" s="51">
        <f t="shared" si="57"/>
        <v>0</v>
      </c>
      <c r="AL30" s="52">
        <f t="shared" si="35"/>
        <v>0</v>
      </c>
      <c r="AM30" s="53">
        <f>'1.Metodologia'!$D$22</f>
        <v>0.27600000000000002</v>
      </c>
      <c r="AN30" s="54">
        <f t="shared" si="58"/>
        <v>0</v>
      </c>
      <c r="AO30" s="56"/>
      <c r="AP30" s="51">
        <f>'1.Metodologia'!$C$23</f>
        <v>15</v>
      </c>
      <c r="AQ30" s="51">
        <f t="shared" si="54"/>
        <v>0</v>
      </c>
      <c r="AR30" s="107">
        <f t="shared" si="55"/>
        <v>0</v>
      </c>
      <c r="AS30" s="108">
        <f>'1.Metodologia'!$D$23</f>
        <v>0</v>
      </c>
      <c r="AT30" s="59">
        <f t="shared" si="56"/>
        <v>0</v>
      </c>
    </row>
    <row r="31" spans="1:46" ht="12.95" hidden="1" customHeight="1">
      <c r="A31" s="9"/>
      <c r="B31" s="165"/>
      <c r="C31" s="166"/>
      <c r="D31" s="111"/>
      <c r="E31" s="111"/>
      <c r="F31" s="21"/>
      <c r="G31" s="56"/>
      <c r="H31" s="48">
        <f t="shared" si="20"/>
        <v>0</v>
      </c>
      <c r="I31" s="49">
        <f>'1.Metodologia'!$D$17</f>
        <v>0.83199999999999996</v>
      </c>
      <c r="J31" s="50">
        <f t="shared" si="21"/>
        <v>0</v>
      </c>
      <c r="K31" s="55"/>
      <c r="L31" s="52">
        <f t="shared" si="22"/>
        <v>0</v>
      </c>
      <c r="M31" s="53">
        <f>'1.Metodologia'!$D$18</f>
        <v>1.0999999999999999E-2</v>
      </c>
      <c r="N31" s="54">
        <f t="shared" si="23"/>
        <v>0</v>
      </c>
      <c r="O31" s="56"/>
      <c r="P31" s="51">
        <f>'1.Metodologia'!$C$19</f>
        <v>34.39</v>
      </c>
      <c r="Q31" s="51">
        <f t="shared" si="24"/>
        <v>0</v>
      </c>
      <c r="R31" s="52">
        <f t="shared" si="25"/>
        <v>0</v>
      </c>
      <c r="S31" s="53">
        <f>'1.Metodologia'!$D$19</f>
        <v>0.20100000000000001</v>
      </c>
      <c r="T31" s="50">
        <f t="shared" si="26"/>
        <v>0</v>
      </c>
      <c r="U31" s="55"/>
      <c r="V31" s="51">
        <f>'1.Metodologia'!$C$21</f>
        <v>22.37</v>
      </c>
      <c r="W31" s="51">
        <f t="shared" si="27"/>
        <v>0</v>
      </c>
      <c r="X31" s="52">
        <f t="shared" si="28"/>
        <v>0</v>
      </c>
      <c r="Y31" s="53">
        <f>'1.Metodologia'!$D$21</f>
        <v>0.34100000000000003</v>
      </c>
      <c r="Z31" s="54">
        <f t="shared" si="29"/>
        <v>0</v>
      </c>
      <c r="AA31" s="56"/>
      <c r="AB31" s="51">
        <f>'1.Metodologia'!$C$20</f>
        <v>47.31</v>
      </c>
      <c r="AC31" s="51">
        <f t="shared" si="30"/>
        <v>0</v>
      </c>
      <c r="AD31" s="52">
        <f t="shared" si="31"/>
        <v>0</v>
      </c>
      <c r="AE31" s="53">
        <f>'1.Metodologia'!$D$20</f>
        <v>0.22500000000000001</v>
      </c>
      <c r="AF31" s="54">
        <f t="shared" si="32"/>
        <v>0</v>
      </c>
      <c r="AG31" s="56"/>
      <c r="AH31" s="55">
        <v>860</v>
      </c>
      <c r="AI31" s="51">
        <f t="shared" si="33"/>
        <v>0</v>
      </c>
      <c r="AJ31" s="51">
        <f>'1.Metodologia'!$C$22</f>
        <v>40.19</v>
      </c>
      <c r="AK31" s="51">
        <f t="shared" si="57"/>
        <v>0</v>
      </c>
      <c r="AL31" s="52">
        <f t="shared" si="35"/>
        <v>0</v>
      </c>
      <c r="AM31" s="53">
        <f>'1.Metodologia'!$D$22</f>
        <v>0.27600000000000002</v>
      </c>
      <c r="AN31" s="54">
        <f t="shared" si="58"/>
        <v>0</v>
      </c>
      <c r="AO31" s="56"/>
      <c r="AP31" s="51">
        <f>'1.Metodologia'!$C$23</f>
        <v>15</v>
      </c>
      <c r="AQ31" s="51">
        <f t="shared" si="54"/>
        <v>0</v>
      </c>
      <c r="AR31" s="107">
        <f t="shared" si="55"/>
        <v>0</v>
      </c>
      <c r="AS31" s="108">
        <f>'1.Metodologia'!$D$23</f>
        <v>0</v>
      </c>
      <c r="AT31" s="59">
        <f t="shared" si="56"/>
        <v>0</v>
      </c>
    </row>
    <row r="32" spans="1:46" ht="12.95" hidden="1" customHeight="1">
      <c r="A32" s="9"/>
      <c r="B32" s="165"/>
      <c r="C32" s="166"/>
      <c r="D32" s="111"/>
      <c r="E32" s="111"/>
      <c r="F32" s="158"/>
      <c r="G32" s="56"/>
      <c r="H32" s="48">
        <f t="shared" si="20"/>
        <v>0</v>
      </c>
      <c r="I32" s="49">
        <f>'1.Metodologia'!$D$17</f>
        <v>0.83199999999999996</v>
      </c>
      <c r="J32" s="50">
        <f t="shared" si="21"/>
        <v>0</v>
      </c>
      <c r="K32" s="55"/>
      <c r="L32" s="52">
        <f t="shared" si="22"/>
        <v>0</v>
      </c>
      <c r="M32" s="53">
        <f>'1.Metodologia'!$D$18</f>
        <v>1.0999999999999999E-2</v>
      </c>
      <c r="N32" s="54">
        <f t="shared" si="23"/>
        <v>0</v>
      </c>
      <c r="O32" s="56"/>
      <c r="P32" s="51">
        <f>'1.Metodologia'!$C$19</f>
        <v>34.39</v>
      </c>
      <c r="Q32" s="51">
        <f t="shared" si="24"/>
        <v>0</v>
      </c>
      <c r="R32" s="52">
        <f t="shared" si="25"/>
        <v>0</v>
      </c>
      <c r="S32" s="53">
        <f>'1.Metodologia'!$D$19</f>
        <v>0.20100000000000001</v>
      </c>
      <c r="T32" s="50">
        <f t="shared" si="26"/>
        <v>0</v>
      </c>
      <c r="U32" s="55"/>
      <c r="V32" s="51">
        <f>'1.Metodologia'!$C$21</f>
        <v>22.37</v>
      </c>
      <c r="W32" s="51">
        <f t="shared" si="27"/>
        <v>0</v>
      </c>
      <c r="X32" s="52">
        <f t="shared" si="28"/>
        <v>0</v>
      </c>
      <c r="Y32" s="53">
        <f>'1.Metodologia'!$D$21</f>
        <v>0.34100000000000003</v>
      </c>
      <c r="Z32" s="54">
        <f t="shared" si="29"/>
        <v>0</v>
      </c>
      <c r="AA32" s="56"/>
      <c r="AB32" s="51">
        <f>'1.Metodologia'!$C$20</f>
        <v>47.31</v>
      </c>
      <c r="AC32" s="51">
        <f t="shared" si="30"/>
        <v>0</v>
      </c>
      <c r="AD32" s="52">
        <f t="shared" si="31"/>
        <v>0</v>
      </c>
      <c r="AE32" s="53">
        <f>'1.Metodologia'!$D$20</f>
        <v>0.22500000000000001</v>
      </c>
      <c r="AF32" s="54">
        <f t="shared" si="32"/>
        <v>0</v>
      </c>
      <c r="AG32" s="56"/>
      <c r="AH32" s="55">
        <v>860</v>
      </c>
      <c r="AI32" s="51">
        <f t="shared" si="33"/>
        <v>0</v>
      </c>
      <c r="AJ32" s="51">
        <f>'1.Metodologia'!$C$22</f>
        <v>40.19</v>
      </c>
      <c r="AK32" s="51">
        <f t="shared" si="57"/>
        <v>0</v>
      </c>
      <c r="AL32" s="52">
        <f t="shared" si="35"/>
        <v>0</v>
      </c>
      <c r="AM32" s="53">
        <f>'1.Metodologia'!$D$22</f>
        <v>0.27600000000000002</v>
      </c>
      <c r="AN32" s="54">
        <f t="shared" si="58"/>
        <v>0</v>
      </c>
      <c r="AO32" s="56"/>
      <c r="AP32" s="51">
        <f>'1.Metodologia'!$C$23</f>
        <v>15</v>
      </c>
      <c r="AQ32" s="51">
        <f t="shared" si="54"/>
        <v>0</v>
      </c>
      <c r="AR32" s="107">
        <f t="shared" si="55"/>
        <v>0</v>
      </c>
      <c r="AS32" s="108">
        <f>'1.Metodologia'!$D$23</f>
        <v>0</v>
      </c>
      <c r="AT32" s="59">
        <f t="shared" si="56"/>
        <v>0</v>
      </c>
    </row>
    <row r="33" spans="1:46" ht="12.95" hidden="1" customHeight="1">
      <c r="A33" s="9"/>
      <c r="B33" s="165"/>
      <c r="C33" s="166"/>
      <c r="D33" s="111"/>
      <c r="E33" s="111"/>
      <c r="F33" s="158"/>
      <c r="G33" s="56"/>
      <c r="H33" s="48">
        <f t="shared" si="20"/>
        <v>0</v>
      </c>
      <c r="I33" s="49">
        <f>'1.Metodologia'!$D$17</f>
        <v>0.83199999999999996</v>
      </c>
      <c r="J33" s="50">
        <f t="shared" si="21"/>
        <v>0</v>
      </c>
      <c r="K33" s="55"/>
      <c r="L33" s="52">
        <f t="shared" si="22"/>
        <v>0</v>
      </c>
      <c r="M33" s="53">
        <f>'1.Metodologia'!$D$18</f>
        <v>1.0999999999999999E-2</v>
      </c>
      <c r="N33" s="54">
        <f t="shared" si="23"/>
        <v>0</v>
      </c>
      <c r="O33" s="56"/>
      <c r="P33" s="51">
        <f>'1.Metodologia'!$C$19</f>
        <v>34.39</v>
      </c>
      <c r="Q33" s="51">
        <f t="shared" si="24"/>
        <v>0</v>
      </c>
      <c r="R33" s="52">
        <f t="shared" si="25"/>
        <v>0</v>
      </c>
      <c r="S33" s="53">
        <f>'1.Metodologia'!$D$19</f>
        <v>0.20100000000000001</v>
      </c>
      <c r="T33" s="50">
        <f t="shared" si="26"/>
        <v>0</v>
      </c>
      <c r="U33" s="55"/>
      <c r="V33" s="51">
        <f>'1.Metodologia'!$C$21</f>
        <v>22.37</v>
      </c>
      <c r="W33" s="51">
        <f t="shared" si="27"/>
        <v>0</v>
      </c>
      <c r="X33" s="52">
        <f t="shared" si="28"/>
        <v>0</v>
      </c>
      <c r="Y33" s="53">
        <f>'1.Metodologia'!$D$21</f>
        <v>0.34100000000000003</v>
      </c>
      <c r="Z33" s="54">
        <f t="shared" si="29"/>
        <v>0</v>
      </c>
      <c r="AA33" s="56"/>
      <c r="AB33" s="51">
        <f>'1.Metodologia'!$C$20</f>
        <v>47.31</v>
      </c>
      <c r="AC33" s="51">
        <f t="shared" si="30"/>
        <v>0</v>
      </c>
      <c r="AD33" s="52">
        <f t="shared" si="31"/>
        <v>0</v>
      </c>
      <c r="AE33" s="53">
        <f>'1.Metodologia'!$D$20</f>
        <v>0.22500000000000001</v>
      </c>
      <c r="AF33" s="54">
        <f t="shared" si="32"/>
        <v>0</v>
      </c>
      <c r="AG33" s="56"/>
      <c r="AH33" s="55">
        <v>860</v>
      </c>
      <c r="AI33" s="51">
        <f t="shared" si="33"/>
        <v>0</v>
      </c>
      <c r="AJ33" s="51">
        <f>'1.Metodologia'!$C$22</f>
        <v>40.19</v>
      </c>
      <c r="AK33" s="51">
        <f t="shared" si="57"/>
        <v>0</v>
      </c>
      <c r="AL33" s="52">
        <f t="shared" si="35"/>
        <v>0</v>
      </c>
      <c r="AM33" s="53">
        <f>'1.Metodologia'!$D$22</f>
        <v>0.27600000000000002</v>
      </c>
      <c r="AN33" s="54">
        <f t="shared" si="58"/>
        <v>0</v>
      </c>
      <c r="AO33" s="56"/>
      <c r="AP33" s="51">
        <f>'1.Metodologia'!$C$23</f>
        <v>15</v>
      </c>
      <c r="AQ33" s="51">
        <f t="shared" si="54"/>
        <v>0</v>
      </c>
      <c r="AR33" s="107">
        <f t="shared" si="55"/>
        <v>0</v>
      </c>
      <c r="AS33" s="108">
        <f>'1.Metodologia'!$D$23</f>
        <v>0</v>
      </c>
      <c r="AT33" s="59">
        <f t="shared" si="56"/>
        <v>0</v>
      </c>
    </row>
    <row r="34" spans="1:46" ht="12.95" hidden="1" customHeight="1">
      <c r="A34" s="9"/>
      <c r="B34" s="165"/>
      <c r="C34" s="166"/>
      <c r="D34" s="111"/>
      <c r="E34" s="111"/>
      <c r="F34" s="158"/>
      <c r="G34" s="56"/>
      <c r="H34" s="48">
        <f t="shared" si="20"/>
        <v>0</v>
      </c>
      <c r="I34" s="49">
        <f>'1.Metodologia'!$D$17</f>
        <v>0.83199999999999996</v>
      </c>
      <c r="J34" s="50">
        <f t="shared" si="21"/>
        <v>0</v>
      </c>
      <c r="K34" s="55"/>
      <c r="L34" s="52">
        <f t="shared" si="22"/>
        <v>0</v>
      </c>
      <c r="M34" s="53">
        <f>'1.Metodologia'!$D$18</f>
        <v>1.0999999999999999E-2</v>
      </c>
      <c r="N34" s="54">
        <f t="shared" si="23"/>
        <v>0</v>
      </c>
      <c r="O34" s="56"/>
      <c r="P34" s="51">
        <f>'1.Metodologia'!$C$19</f>
        <v>34.39</v>
      </c>
      <c r="Q34" s="51">
        <f t="shared" si="24"/>
        <v>0</v>
      </c>
      <c r="R34" s="52">
        <f t="shared" si="25"/>
        <v>0</v>
      </c>
      <c r="S34" s="53">
        <f>'1.Metodologia'!$D$19</f>
        <v>0.20100000000000001</v>
      </c>
      <c r="T34" s="50">
        <f t="shared" si="26"/>
        <v>0</v>
      </c>
      <c r="U34" s="55"/>
      <c r="V34" s="51">
        <f>'1.Metodologia'!$C$21</f>
        <v>22.37</v>
      </c>
      <c r="W34" s="51">
        <f t="shared" si="27"/>
        <v>0</v>
      </c>
      <c r="X34" s="52">
        <f t="shared" si="28"/>
        <v>0</v>
      </c>
      <c r="Y34" s="53">
        <f>'1.Metodologia'!$D$21</f>
        <v>0.34100000000000003</v>
      </c>
      <c r="Z34" s="54">
        <f t="shared" si="29"/>
        <v>0</v>
      </c>
      <c r="AA34" s="56"/>
      <c r="AB34" s="51">
        <f>'1.Metodologia'!$C$20</f>
        <v>47.31</v>
      </c>
      <c r="AC34" s="51">
        <f t="shared" si="30"/>
        <v>0</v>
      </c>
      <c r="AD34" s="52">
        <f t="shared" si="31"/>
        <v>0</v>
      </c>
      <c r="AE34" s="53">
        <f>'1.Metodologia'!$D$20</f>
        <v>0.22500000000000001</v>
      </c>
      <c r="AF34" s="54">
        <f t="shared" si="32"/>
        <v>0</v>
      </c>
      <c r="AG34" s="56"/>
      <c r="AH34" s="55">
        <v>860</v>
      </c>
      <c r="AI34" s="51">
        <f t="shared" si="33"/>
        <v>0</v>
      </c>
      <c r="AJ34" s="51">
        <f>'1.Metodologia'!$C$22</f>
        <v>40.19</v>
      </c>
      <c r="AK34" s="51">
        <f t="shared" si="57"/>
        <v>0</v>
      </c>
      <c r="AL34" s="52">
        <f t="shared" si="35"/>
        <v>0</v>
      </c>
      <c r="AM34" s="53">
        <f>'1.Metodologia'!$D$22</f>
        <v>0.27600000000000002</v>
      </c>
      <c r="AN34" s="54">
        <f t="shared" si="58"/>
        <v>0</v>
      </c>
      <c r="AO34" s="56"/>
      <c r="AP34" s="51">
        <f>'1.Metodologia'!$C$23</f>
        <v>15</v>
      </c>
      <c r="AQ34" s="51">
        <f t="shared" si="54"/>
        <v>0</v>
      </c>
      <c r="AR34" s="107">
        <f t="shared" si="55"/>
        <v>0</v>
      </c>
      <c r="AS34" s="108">
        <f>'1.Metodologia'!$D$23</f>
        <v>0</v>
      </c>
      <c r="AT34" s="59">
        <f t="shared" si="56"/>
        <v>0</v>
      </c>
    </row>
    <row r="35" spans="1:46" ht="12.95" hidden="1" customHeight="1">
      <c r="A35" s="9"/>
      <c r="B35" s="165"/>
      <c r="C35" s="166"/>
      <c r="D35" s="111"/>
      <c r="E35" s="111"/>
      <c r="F35" s="158"/>
      <c r="G35" s="56"/>
      <c r="H35" s="48">
        <f t="shared" si="20"/>
        <v>0</v>
      </c>
      <c r="I35" s="49">
        <f>'1.Metodologia'!$D$17</f>
        <v>0.83199999999999996</v>
      </c>
      <c r="J35" s="50">
        <f t="shared" si="21"/>
        <v>0</v>
      </c>
      <c r="K35" s="55"/>
      <c r="L35" s="52">
        <f t="shared" si="22"/>
        <v>0</v>
      </c>
      <c r="M35" s="53">
        <f>'1.Metodologia'!$D$18</f>
        <v>1.0999999999999999E-2</v>
      </c>
      <c r="N35" s="54">
        <f t="shared" si="23"/>
        <v>0</v>
      </c>
      <c r="O35" s="56"/>
      <c r="P35" s="51">
        <f>'1.Metodologia'!$C$19</f>
        <v>34.39</v>
      </c>
      <c r="Q35" s="51">
        <f t="shared" si="24"/>
        <v>0</v>
      </c>
      <c r="R35" s="52">
        <f t="shared" si="25"/>
        <v>0</v>
      </c>
      <c r="S35" s="53">
        <f>'1.Metodologia'!$D$19</f>
        <v>0.20100000000000001</v>
      </c>
      <c r="T35" s="50">
        <f t="shared" si="26"/>
        <v>0</v>
      </c>
      <c r="U35" s="55"/>
      <c r="V35" s="51">
        <f>'1.Metodologia'!$C$21</f>
        <v>22.37</v>
      </c>
      <c r="W35" s="51">
        <f t="shared" si="27"/>
        <v>0</v>
      </c>
      <c r="X35" s="52">
        <f t="shared" si="28"/>
        <v>0</v>
      </c>
      <c r="Y35" s="53">
        <f>'1.Metodologia'!$D$21</f>
        <v>0.34100000000000003</v>
      </c>
      <c r="Z35" s="54">
        <f t="shared" si="29"/>
        <v>0</v>
      </c>
      <c r="AA35" s="56"/>
      <c r="AB35" s="51">
        <f>'1.Metodologia'!$C$20</f>
        <v>47.31</v>
      </c>
      <c r="AC35" s="51">
        <f t="shared" si="30"/>
        <v>0</v>
      </c>
      <c r="AD35" s="52">
        <f t="shared" si="31"/>
        <v>0</v>
      </c>
      <c r="AE35" s="53">
        <f>'1.Metodologia'!$D$20</f>
        <v>0.22500000000000001</v>
      </c>
      <c r="AF35" s="54">
        <f t="shared" si="32"/>
        <v>0</v>
      </c>
      <c r="AG35" s="56"/>
      <c r="AH35" s="55">
        <v>860</v>
      </c>
      <c r="AI35" s="51">
        <f t="shared" si="33"/>
        <v>0</v>
      </c>
      <c r="AJ35" s="51">
        <f>'1.Metodologia'!$C$22</f>
        <v>40.19</v>
      </c>
      <c r="AK35" s="51">
        <f t="shared" si="57"/>
        <v>0</v>
      </c>
      <c r="AL35" s="52">
        <f t="shared" si="35"/>
        <v>0</v>
      </c>
      <c r="AM35" s="53">
        <f>'1.Metodologia'!$D$22</f>
        <v>0.27600000000000002</v>
      </c>
      <c r="AN35" s="54">
        <f t="shared" si="58"/>
        <v>0</v>
      </c>
      <c r="AO35" s="56"/>
      <c r="AP35" s="51">
        <f>'1.Metodologia'!$C$23</f>
        <v>15</v>
      </c>
      <c r="AQ35" s="51">
        <f t="shared" si="54"/>
        <v>0</v>
      </c>
      <c r="AR35" s="107">
        <f t="shared" si="55"/>
        <v>0</v>
      </c>
      <c r="AS35" s="108">
        <f>'1.Metodologia'!$D$23</f>
        <v>0</v>
      </c>
      <c r="AT35" s="59">
        <f t="shared" si="56"/>
        <v>0</v>
      </c>
    </row>
    <row r="36" spans="1:46" ht="12.95" hidden="1" customHeight="1">
      <c r="A36" s="9"/>
      <c r="B36" s="165"/>
      <c r="C36" s="166"/>
      <c r="D36" s="111"/>
      <c r="E36" s="111"/>
      <c r="F36" s="158"/>
      <c r="G36" s="56"/>
      <c r="H36" s="48">
        <f t="shared" si="20"/>
        <v>0</v>
      </c>
      <c r="I36" s="49">
        <f>'1.Metodologia'!$D$17</f>
        <v>0.83199999999999996</v>
      </c>
      <c r="J36" s="50">
        <f t="shared" si="21"/>
        <v>0</v>
      </c>
      <c r="K36" s="55"/>
      <c r="L36" s="52">
        <f t="shared" si="22"/>
        <v>0</v>
      </c>
      <c r="M36" s="53">
        <f>'1.Metodologia'!$D$18</f>
        <v>1.0999999999999999E-2</v>
      </c>
      <c r="N36" s="54">
        <f t="shared" si="23"/>
        <v>0</v>
      </c>
      <c r="O36" s="56"/>
      <c r="P36" s="51">
        <f>'1.Metodologia'!$C$19</f>
        <v>34.39</v>
      </c>
      <c r="Q36" s="51">
        <f t="shared" si="24"/>
        <v>0</v>
      </c>
      <c r="R36" s="52">
        <f t="shared" si="25"/>
        <v>0</v>
      </c>
      <c r="S36" s="53">
        <f>'1.Metodologia'!$D$19</f>
        <v>0.20100000000000001</v>
      </c>
      <c r="T36" s="50">
        <f t="shared" si="26"/>
        <v>0</v>
      </c>
      <c r="U36" s="55"/>
      <c r="V36" s="51">
        <f>'1.Metodologia'!$C$21</f>
        <v>22.37</v>
      </c>
      <c r="W36" s="51">
        <f t="shared" si="27"/>
        <v>0</v>
      </c>
      <c r="X36" s="52">
        <f t="shared" si="28"/>
        <v>0</v>
      </c>
      <c r="Y36" s="53">
        <f>'1.Metodologia'!$D$21</f>
        <v>0.34100000000000003</v>
      </c>
      <c r="Z36" s="54">
        <f t="shared" si="29"/>
        <v>0</v>
      </c>
      <c r="AA36" s="56"/>
      <c r="AB36" s="51">
        <f>'1.Metodologia'!$C$20</f>
        <v>47.31</v>
      </c>
      <c r="AC36" s="51">
        <f t="shared" si="30"/>
        <v>0</v>
      </c>
      <c r="AD36" s="52">
        <f t="shared" si="31"/>
        <v>0</v>
      </c>
      <c r="AE36" s="53">
        <f>'1.Metodologia'!$D$20</f>
        <v>0.22500000000000001</v>
      </c>
      <c r="AF36" s="54">
        <f t="shared" si="32"/>
        <v>0</v>
      </c>
      <c r="AG36" s="56"/>
      <c r="AH36" s="55">
        <v>860</v>
      </c>
      <c r="AI36" s="51">
        <f t="shared" si="33"/>
        <v>0</v>
      </c>
      <c r="AJ36" s="51">
        <f>'1.Metodologia'!$C$22</f>
        <v>40.19</v>
      </c>
      <c r="AK36" s="51">
        <f t="shared" si="57"/>
        <v>0</v>
      </c>
      <c r="AL36" s="52">
        <f t="shared" si="35"/>
        <v>0</v>
      </c>
      <c r="AM36" s="53">
        <f>'1.Metodologia'!$D$22</f>
        <v>0.27600000000000002</v>
      </c>
      <c r="AN36" s="54">
        <f t="shared" si="58"/>
        <v>0</v>
      </c>
      <c r="AO36" s="56"/>
      <c r="AP36" s="51">
        <f>'1.Metodologia'!$C$23</f>
        <v>15</v>
      </c>
      <c r="AQ36" s="51">
        <f t="shared" si="54"/>
        <v>0</v>
      </c>
      <c r="AR36" s="107">
        <f t="shared" si="55"/>
        <v>0</v>
      </c>
      <c r="AS36" s="108">
        <f>'1.Metodologia'!$D$23</f>
        <v>0</v>
      </c>
      <c r="AT36" s="59">
        <f t="shared" si="56"/>
        <v>0</v>
      </c>
    </row>
    <row r="37" spans="1:46" ht="12.95" hidden="1" customHeight="1">
      <c r="A37" s="9"/>
      <c r="B37" s="165"/>
      <c r="C37" s="166"/>
      <c r="D37" s="111"/>
      <c r="E37" s="111"/>
      <c r="F37" s="158"/>
      <c r="G37" s="56"/>
      <c r="H37" s="48">
        <f t="shared" si="20"/>
        <v>0</v>
      </c>
      <c r="I37" s="49">
        <f>'1.Metodologia'!$D$17</f>
        <v>0.83199999999999996</v>
      </c>
      <c r="J37" s="50">
        <f t="shared" si="21"/>
        <v>0</v>
      </c>
      <c r="K37" s="55"/>
      <c r="L37" s="52">
        <f t="shared" si="22"/>
        <v>0</v>
      </c>
      <c r="M37" s="53">
        <f>'1.Metodologia'!$D$18</f>
        <v>1.0999999999999999E-2</v>
      </c>
      <c r="N37" s="54">
        <f t="shared" si="23"/>
        <v>0</v>
      </c>
      <c r="O37" s="56"/>
      <c r="P37" s="51">
        <f>'1.Metodologia'!$C$19</f>
        <v>34.39</v>
      </c>
      <c r="Q37" s="51">
        <f t="shared" si="24"/>
        <v>0</v>
      </c>
      <c r="R37" s="52">
        <f t="shared" si="25"/>
        <v>0</v>
      </c>
      <c r="S37" s="53">
        <f>'1.Metodologia'!$D$19</f>
        <v>0.20100000000000001</v>
      </c>
      <c r="T37" s="50">
        <f t="shared" si="26"/>
        <v>0</v>
      </c>
      <c r="U37" s="55"/>
      <c r="V37" s="51">
        <f>'1.Metodologia'!$C$21</f>
        <v>22.37</v>
      </c>
      <c r="W37" s="51">
        <f t="shared" si="27"/>
        <v>0</v>
      </c>
      <c r="X37" s="52">
        <f t="shared" si="28"/>
        <v>0</v>
      </c>
      <c r="Y37" s="53">
        <f>'1.Metodologia'!$D$21</f>
        <v>0.34100000000000003</v>
      </c>
      <c r="Z37" s="54">
        <f t="shared" si="29"/>
        <v>0</v>
      </c>
      <c r="AA37" s="56"/>
      <c r="AB37" s="51">
        <f>'1.Metodologia'!$C$20</f>
        <v>47.31</v>
      </c>
      <c r="AC37" s="51">
        <f t="shared" si="30"/>
        <v>0</v>
      </c>
      <c r="AD37" s="52">
        <f t="shared" si="31"/>
        <v>0</v>
      </c>
      <c r="AE37" s="53">
        <f>'1.Metodologia'!$D$20</f>
        <v>0.22500000000000001</v>
      </c>
      <c r="AF37" s="54">
        <f t="shared" si="32"/>
        <v>0</v>
      </c>
      <c r="AG37" s="56"/>
      <c r="AH37" s="55">
        <v>860</v>
      </c>
      <c r="AI37" s="51">
        <f t="shared" si="33"/>
        <v>0</v>
      </c>
      <c r="AJ37" s="51">
        <f>'1.Metodologia'!$C$22</f>
        <v>40.19</v>
      </c>
      <c r="AK37" s="51">
        <f t="shared" si="57"/>
        <v>0</v>
      </c>
      <c r="AL37" s="52">
        <f t="shared" si="35"/>
        <v>0</v>
      </c>
      <c r="AM37" s="53">
        <f>'1.Metodologia'!$D$22</f>
        <v>0.27600000000000002</v>
      </c>
      <c r="AN37" s="54">
        <f t="shared" si="58"/>
        <v>0</v>
      </c>
      <c r="AO37" s="56"/>
      <c r="AP37" s="51">
        <f>'1.Metodologia'!$C$23</f>
        <v>15</v>
      </c>
      <c r="AQ37" s="51">
        <f t="shared" si="54"/>
        <v>0</v>
      </c>
      <c r="AR37" s="107">
        <f t="shared" si="55"/>
        <v>0</v>
      </c>
      <c r="AS37" s="108">
        <f>'1.Metodologia'!$D$23</f>
        <v>0</v>
      </c>
      <c r="AT37" s="59">
        <f t="shared" si="56"/>
        <v>0</v>
      </c>
    </row>
    <row r="38" spans="1:46" ht="12.95" hidden="1" customHeight="1">
      <c r="A38" s="9"/>
      <c r="B38" s="165"/>
      <c r="C38" s="166"/>
      <c r="D38" s="111"/>
      <c r="E38" s="111"/>
      <c r="F38" s="158"/>
      <c r="G38" s="56"/>
      <c r="H38" s="48">
        <f t="shared" si="20"/>
        <v>0</v>
      </c>
      <c r="I38" s="49">
        <f>'1.Metodologia'!$D$17</f>
        <v>0.83199999999999996</v>
      </c>
      <c r="J38" s="50">
        <f t="shared" si="21"/>
        <v>0</v>
      </c>
      <c r="K38" s="55"/>
      <c r="L38" s="52">
        <f t="shared" si="22"/>
        <v>0</v>
      </c>
      <c r="M38" s="53">
        <f>'1.Metodologia'!$D$18</f>
        <v>1.0999999999999999E-2</v>
      </c>
      <c r="N38" s="54">
        <f t="shared" si="23"/>
        <v>0</v>
      </c>
      <c r="O38" s="56"/>
      <c r="P38" s="51">
        <f>'1.Metodologia'!$C$19</f>
        <v>34.39</v>
      </c>
      <c r="Q38" s="51">
        <f t="shared" si="24"/>
        <v>0</v>
      </c>
      <c r="R38" s="52">
        <f t="shared" si="25"/>
        <v>0</v>
      </c>
      <c r="S38" s="53">
        <f>'1.Metodologia'!$D$19</f>
        <v>0.20100000000000001</v>
      </c>
      <c r="T38" s="50">
        <f t="shared" si="26"/>
        <v>0</v>
      </c>
      <c r="U38" s="55"/>
      <c r="V38" s="51">
        <f>'1.Metodologia'!$C$21</f>
        <v>22.37</v>
      </c>
      <c r="W38" s="51">
        <f t="shared" si="27"/>
        <v>0</v>
      </c>
      <c r="X38" s="52">
        <f t="shared" si="28"/>
        <v>0</v>
      </c>
      <c r="Y38" s="53">
        <f>'1.Metodologia'!$D$21</f>
        <v>0.34100000000000003</v>
      </c>
      <c r="Z38" s="54">
        <f t="shared" si="29"/>
        <v>0</v>
      </c>
      <c r="AA38" s="56"/>
      <c r="AB38" s="51">
        <f>'1.Metodologia'!$C$20</f>
        <v>47.31</v>
      </c>
      <c r="AC38" s="51">
        <f t="shared" si="30"/>
        <v>0</v>
      </c>
      <c r="AD38" s="52">
        <f t="shared" si="31"/>
        <v>0</v>
      </c>
      <c r="AE38" s="53">
        <f>'1.Metodologia'!$D$20</f>
        <v>0.22500000000000001</v>
      </c>
      <c r="AF38" s="54">
        <f t="shared" si="32"/>
        <v>0</v>
      </c>
      <c r="AG38" s="56"/>
      <c r="AH38" s="55">
        <v>860</v>
      </c>
      <c r="AI38" s="51">
        <f t="shared" si="33"/>
        <v>0</v>
      </c>
      <c r="AJ38" s="51">
        <f>'1.Metodologia'!$C$22</f>
        <v>40.19</v>
      </c>
      <c r="AK38" s="51">
        <f t="shared" si="57"/>
        <v>0</v>
      </c>
      <c r="AL38" s="52">
        <f t="shared" si="35"/>
        <v>0</v>
      </c>
      <c r="AM38" s="53">
        <f>'1.Metodologia'!$D$22</f>
        <v>0.27600000000000002</v>
      </c>
      <c r="AN38" s="54">
        <f t="shared" si="58"/>
        <v>0</v>
      </c>
      <c r="AO38" s="56"/>
      <c r="AP38" s="51">
        <f>'1.Metodologia'!$C$23</f>
        <v>15</v>
      </c>
      <c r="AQ38" s="51">
        <f t="shared" si="54"/>
        <v>0</v>
      </c>
      <c r="AR38" s="107">
        <f t="shared" si="55"/>
        <v>0</v>
      </c>
      <c r="AS38" s="108">
        <f>'1.Metodologia'!$D$23</f>
        <v>0</v>
      </c>
      <c r="AT38" s="59">
        <f t="shared" si="56"/>
        <v>0</v>
      </c>
    </row>
    <row r="39" spans="1:46" ht="12.95" hidden="1" customHeight="1">
      <c r="A39" s="9"/>
      <c r="B39" s="165"/>
      <c r="C39" s="166"/>
      <c r="D39" s="111"/>
      <c r="E39" s="111"/>
      <c r="F39" s="158"/>
      <c r="G39" s="56"/>
      <c r="H39" s="48">
        <f t="shared" si="20"/>
        <v>0</v>
      </c>
      <c r="I39" s="49">
        <f>'1.Metodologia'!$D$17</f>
        <v>0.83199999999999996</v>
      </c>
      <c r="J39" s="50">
        <f t="shared" si="21"/>
        <v>0</v>
      </c>
      <c r="K39" s="55"/>
      <c r="L39" s="52">
        <f t="shared" si="22"/>
        <v>0</v>
      </c>
      <c r="M39" s="53">
        <f>'1.Metodologia'!$D$18</f>
        <v>1.0999999999999999E-2</v>
      </c>
      <c r="N39" s="54">
        <f t="shared" si="23"/>
        <v>0</v>
      </c>
      <c r="O39" s="56"/>
      <c r="P39" s="51">
        <f>'1.Metodologia'!$C$19</f>
        <v>34.39</v>
      </c>
      <c r="Q39" s="51">
        <f t="shared" si="24"/>
        <v>0</v>
      </c>
      <c r="R39" s="52">
        <f t="shared" si="25"/>
        <v>0</v>
      </c>
      <c r="S39" s="53">
        <f>'1.Metodologia'!$D$19</f>
        <v>0.20100000000000001</v>
      </c>
      <c r="T39" s="50">
        <f t="shared" si="26"/>
        <v>0</v>
      </c>
      <c r="U39" s="55"/>
      <c r="V39" s="51">
        <f>'1.Metodologia'!$C$21</f>
        <v>22.37</v>
      </c>
      <c r="W39" s="51">
        <f t="shared" si="27"/>
        <v>0</v>
      </c>
      <c r="X39" s="52">
        <f t="shared" si="28"/>
        <v>0</v>
      </c>
      <c r="Y39" s="53">
        <f>'1.Metodologia'!$D$21</f>
        <v>0.34100000000000003</v>
      </c>
      <c r="Z39" s="54">
        <f t="shared" si="29"/>
        <v>0</v>
      </c>
      <c r="AA39" s="56"/>
      <c r="AB39" s="51">
        <f>'1.Metodologia'!$C$20</f>
        <v>47.31</v>
      </c>
      <c r="AC39" s="51">
        <f t="shared" si="30"/>
        <v>0</v>
      </c>
      <c r="AD39" s="52">
        <f t="shared" si="31"/>
        <v>0</v>
      </c>
      <c r="AE39" s="53">
        <f>'1.Metodologia'!$D$20</f>
        <v>0.22500000000000001</v>
      </c>
      <c r="AF39" s="54">
        <f t="shared" si="32"/>
        <v>0</v>
      </c>
      <c r="AG39" s="56"/>
      <c r="AH39" s="55">
        <v>860</v>
      </c>
      <c r="AI39" s="51">
        <f t="shared" si="33"/>
        <v>0</v>
      </c>
      <c r="AJ39" s="51">
        <f>'1.Metodologia'!$C$22</f>
        <v>40.19</v>
      </c>
      <c r="AK39" s="51">
        <f t="shared" si="57"/>
        <v>0</v>
      </c>
      <c r="AL39" s="52">
        <f t="shared" si="35"/>
        <v>0</v>
      </c>
      <c r="AM39" s="53">
        <f>'1.Metodologia'!$D$22</f>
        <v>0.27600000000000002</v>
      </c>
      <c r="AN39" s="54">
        <f t="shared" si="58"/>
        <v>0</v>
      </c>
      <c r="AO39" s="56"/>
      <c r="AP39" s="51">
        <f>'1.Metodologia'!$C$23</f>
        <v>15</v>
      </c>
      <c r="AQ39" s="51">
        <f t="shared" si="54"/>
        <v>0</v>
      </c>
      <c r="AR39" s="107">
        <f t="shared" si="55"/>
        <v>0</v>
      </c>
      <c r="AS39" s="108">
        <f>'1.Metodologia'!$D$23</f>
        <v>0</v>
      </c>
      <c r="AT39" s="59">
        <f t="shared" si="56"/>
        <v>0</v>
      </c>
    </row>
    <row r="40" spans="1:46" ht="12.95" hidden="1" customHeight="1">
      <c r="A40" s="9"/>
      <c r="B40" s="165"/>
      <c r="C40" s="166"/>
      <c r="D40" s="111"/>
      <c r="E40" s="111"/>
      <c r="F40" s="158"/>
      <c r="G40" s="56"/>
      <c r="H40" s="48">
        <f t="shared" si="20"/>
        <v>0</v>
      </c>
      <c r="I40" s="49">
        <f>'1.Metodologia'!$D$17</f>
        <v>0.83199999999999996</v>
      </c>
      <c r="J40" s="50">
        <f t="shared" si="21"/>
        <v>0</v>
      </c>
      <c r="K40" s="55"/>
      <c r="L40" s="52">
        <f t="shared" si="22"/>
        <v>0</v>
      </c>
      <c r="M40" s="53">
        <f>'1.Metodologia'!$D$18</f>
        <v>1.0999999999999999E-2</v>
      </c>
      <c r="N40" s="54">
        <f t="shared" si="23"/>
        <v>0</v>
      </c>
      <c r="O40" s="56"/>
      <c r="P40" s="51">
        <f>'1.Metodologia'!$C$19</f>
        <v>34.39</v>
      </c>
      <c r="Q40" s="51">
        <f t="shared" si="24"/>
        <v>0</v>
      </c>
      <c r="R40" s="52">
        <f t="shared" si="25"/>
        <v>0</v>
      </c>
      <c r="S40" s="53">
        <f>'1.Metodologia'!$D$19</f>
        <v>0.20100000000000001</v>
      </c>
      <c r="T40" s="50">
        <f t="shared" si="26"/>
        <v>0</v>
      </c>
      <c r="U40" s="55"/>
      <c r="V40" s="51">
        <f>'1.Metodologia'!$C$21</f>
        <v>22.37</v>
      </c>
      <c r="W40" s="51">
        <f t="shared" si="27"/>
        <v>0</v>
      </c>
      <c r="X40" s="52">
        <f t="shared" si="28"/>
        <v>0</v>
      </c>
      <c r="Y40" s="53">
        <f>'1.Metodologia'!$D$21</f>
        <v>0.34100000000000003</v>
      </c>
      <c r="Z40" s="54">
        <f t="shared" si="29"/>
        <v>0</v>
      </c>
      <c r="AA40" s="56"/>
      <c r="AB40" s="51">
        <f>'1.Metodologia'!$C$20</f>
        <v>47.31</v>
      </c>
      <c r="AC40" s="51">
        <f t="shared" si="30"/>
        <v>0</v>
      </c>
      <c r="AD40" s="52">
        <f t="shared" si="31"/>
        <v>0</v>
      </c>
      <c r="AE40" s="53">
        <f>'1.Metodologia'!$D$20</f>
        <v>0.22500000000000001</v>
      </c>
      <c r="AF40" s="54">
        <f t="shared" si="32"/>
        <v>0</v>
      </c>
      <c r="AG40" s="56"/>
      <c r="AH40" s="55">
        <v>860</v>
      </c>
      <c r="AI40" s="51">
        <f t="shared" si="33"/>
        <v>0</v>
      </c>
      <c r="AJ40" s="51">
        <f>'1.Metodologia'!$C$22</f>
        <v>40.19</v>
      </c>
      <c r="AK40" s="51">
        <f t="shared" si="57"/>
        <v>0</v>
      </c>
      <c r="AL40" s="52">
        <f t="shared" si="35"/>
        <v>0</v>
      </c>
      <c r="AM40" s="53">
        <f>'1.Metodologia'!$D$22</f>
        <v>0.27600000000000002</v>
      </c>
      <c r="AN40" s="54">
        <f t="shared" si="58"/>
        <v>0</v>
      </c>
      <c r="AO40" s="56"/>
      <c r="AP40" s="51">
        <f>'1.Metodologia'!$C$23</f>
        <v>15</v>
      </c>
      <c r="AQ40" s="51">
        <f t="shared" si="54"/>
        <v>0</v>
      </c>
      <c r="AR40" s="107">
        <f t="shared" si="55"/>
        <v>0</v>
      </c>
      <c r="AS40" s="108">
        <f>'1.Metodologia'!$D$23</f>
        <v>0</v>
      </c>
      <c r="AT40" s="59">
        <f t="shared" si="56"/>
        <v>0</v>
      </c>
    </row>
    <row r="41" spans="1:46" ht="12.95" hidden="1" customHeight="1">
      <c r="A41" s="9"/>
      <c r="B41" s="165"/>
      <c r="C41" s="166"/>
      <c r="D41" s="111"/>
      <c r="E41" s="111"/>
      <c r="F41" s="158"/>
      <c r="G41" s="56"/>
      <c r="H41" s="48">
        <f t="shared" si="20"/>
        <v>0</v>
      </c>
      <c r="I41" s="49">
        <f>'1.Metodologia'!$D$17</f>
        <v>0.83199999999999996</v>
      </c>
      <c r="J41" s="50">
        <f t="shared" ref="J41:J42" si="59">H41*I41</f>
        <v>0</v>
      </c>
      <c r="K41" s="55"/>
      <c r="L41" s="52">
        <f t="shared" si="22"/>
        <v>0</v>
      </c>
      <c r="M41" s="53">
        <f>'1.Metodologia'!$D$18</f>
        <v>1.0999999999999999E-2</v>
      </c>
      <c r="N41" s="54">
        <f t="shared" ref="N41:N42" si="60">L41*M41</f>
        <v>0</v>
      </c>
      <c r="O41" s="56"/>
      <c r="P41" s="51">
        <f>'1.Metodologia'!$C$19</f>
        <v>34.39</v>
      </c>
      <c r="Q41" s="51">
        <f t="shared" ref="Q41:Q42" si="61">O41*P41</f>
        <v>0</v>
      </c>
      <c r="R41" s="52">
        <f t="shared" si="25"/>
        <v>0</v>
      </c>
      <c r="S41" s="53">
        <f>'1.Metodologia'!$D$19</f>
        <v>0.20100000000000001</v>
      </c>
      <c r="T41" s="50">
        <f t="shared" ref="T41:T42" si="62">R41*S41</f>
        <v>0</v>
      </c>
      <c r="U41" s="55"/>
      <c r="V41" s="51">
        <f>'1.Metodologia'!$C$21</f>
        <v>22.37</v>
      </c>
      <c r="W41" s="51">
        <f t="shared" ref="W41:W42" si="63">U41*V41</f>
        <v>0</v>
      </c>
      <c r="X41" s="52">
        <f t="shared" si="28"/>
        <v>0</v>
      </c>
      <c r="Y41" s="53">
        <f>'1.Metodologia'!$D$21</f>
        <v>0.34100000000000003</v>
      </c>
      <c r="Z41" s="54">
        <f t="shared" ref="Z41:Z42" si="64">X41*Y41</f>
        <v>0</v>
      </c>
      <c r="AA41" s="56"/>
      <c r="AB41" s="51">
        <f>'1.Metodologia'!$C$20</f>
        <v>47.31</v>
      </c>
      <c r="AC41" s="51">
        <f t="shared" ref="AC41:AC42" si="65">AA41*AB41</f>
        <v>0</v>
      </c>
      <c r="AD41" s="52">
        <f t="shared" si="31"/>
        <v>0</v>
      </c>
      <c r="AE41" s="53">
        <f>'1.Metodologia'!$D$20</f>
        <v>0.22500000000000001</v>
      </c>
      <c r="AF41" s="54">
        <f t="shared" ref="AF41:AF42" si="66">AD41*AE41</f>
        <v>0</v>
      </c>
      <c r="AG41" s="56"/>
      <c r="AH41" s="55">
        <v>860</v>
      </c>
      <c r="AI41" s="51">
        <f t="shared" si="33"/>
        <v>0</v>
      </c>
      <c r="AJ41" s="51">
        <f>'1.Metodologia'!$C$22</f>
        <v>40.19</v>
      </c>
      <c r="AK41" s="51">
        <f t="shared" si="57"/>
        <v>0</v>
      </c>
      <c r="AL41" s="52">
        <f t="shared" si="35"/>
        <v>0</v>
      </c>
      <c r="AM41" s="53">
        <f>'1.Metodologia'!$D$22</f>
        <v>0.27600000000000002</v>
      </c>
      <c r="AN41" s="54">
        <f t="shared" si="58"/>
        <v>0</v>
      </c>
      <c r="AO41" s="56"/>
      <c r="AP41" s="51">
        <f>'1.Metodologia'!$C$23</f>
        <v>15</v>
      </c>
      <c r="AQ41" s="51">
        <f t="shared" si="54"/>
        <v>0</v>
      </c>
      <c r="AR41" s="107">
        <f t="shared" si="55"/>
        <v>0</v>
      </c>
      <c r="AS41" s="108">
        <f>'1.Metodologia'!$D$23</f>
        <v>0</v>
      </c>
      <c r="AT41" s="59">
        <f t="shared" si="56"/>
        <v>0</v>
      </c>
    </row>
    <row r="42" spans="1:46" ht="12.95" hidden="1" customHeight="1" thickBot="1">
      <c r="A42" s="41"/>
      <c r="B42" s="167"/>
      <c r="C42" s="168"/>
      <c r="D42" s="169"/>
      <c r="E42" s="169"/>
      <c r="F42" s="170"/>
      <c r="G42" s="38"/>
      <c r="H42" s="61">
        <f t="shared" si="20"/>
        <v>0</v>
      </c>
      <c r="I42" s="62">
        <f>'1.Metodologia'!$D$17</f>
        <v>0.83199999999999996</v>
      </c>
      <c r="J42" s="63">
        <f t="shared" si="59"/>
        <v>0</v>
      </c>
      <c r="K42" s="64"/>
      <c r="L42" s="65">
        <f t="shared" si="22"/>
        <v>0</v>
      </c>
      <c r="M42" s="66">
        <f>'1.Metodologia'!$D$18</f>
        <v>1.0999999999999999E-2</v>
      </c>
      <c r="N42" s="67">
        <f t="shared" si="60"/>
        <v>0</v>
      </c>
      <c r="O42" s="38"/>
      <c r="P42" s="68">
        <f>'1.Metodologia'!$C$19</f>
        <v>34.39</v>
      </c>
      <c r="Q42" s="68">
        <f t="shared" si="61"/>
        <v>0</v>
      </c>
      <c r="R42" s="65">
        <f t="shared" si="25"/>
        <v>0</v>
      </c>
      <c r="S42" s="66">
        <f>'1.Metodologia'!$D$19</f>
        <v>0.20100000000000001</v>
      </c>
      <c r="T42" s="63">
        <f t="shared" si="62"/>
        <v>0</v>
      </c>
      <c r="U42" s="64"/>
      <c r="V42" s="68">
        <f>'1.Metodologia'!$C$21</f>
        <v>22.37</v>
      </c>
      <c r="W42" s="68">
        <f t="shared" si="63"/>
        <v>0</v>
      </c>
      <c r="X42" s="65">
        <f t="shared" si="28"/>
        <v>0</v>
      </c>
      <c r="Y42" s="66">
        <f>'1.Metodologia'!$D$21</f>
        <v>0.34100000000000003</v>
      </c>
      <c r="Z42" s="67">
        <f t="shared" si="64"/>
        <v>0</v>
      </c>
      <c r="AA42" s="38"/>
      <c r="AB42" s="68">
        <f>'1.Metodologia'!$C$20</f>
        <v>47.31</v>
      </c>
      <c r="AC42" s="68">
        <f t="shared" si="65"/>
        <v>0</v>
      </c>
      <c r="AD42" s="65">
        <f t="shared" si="31"/>
        <v>0</v>
      </c>
      <c r="AE42" s="66">
        <f>'1.Metodologia'!$D$20</f>
        <v>0.22500000000000001</v>
      </c>
      <c r="AF42" s="67">
        <f t="shared" si="66"/>
        <v>0</v>
      </c>
      <c r="AG42" s="38"/>
      <c r="AH42" s="64">
        <v>860</v>
      </c>
      <c r="AI42" s="68">
        <f t="shared" si="33"/>
        <v>0</v>
      </c>
      <c r="AJ42" s="68">
        <f>'1.Metodologia'!$C$22</f>
        <v>40.19</v>
      </c>
      <c r="AK42" s="68">
        <f t="shared" si="57"/>
        <v>0</v>
      </c>
      <c r="AL42" s="65">
        <f t="shared" si="35"/>
        <v>0</v>
      </c>
      <c r="AM42" s="66">
        <f>'1.Metodologia'!$D$22</f>
        <v>0.27600000000000002</v>
      </c>
      <c r="AN42" s="67">
        <f t="shared" si="58"/>
        <v>0</v>
      </c>
      <c r="AO42" s="38"/>
      <c r="AP42" s="51">
        <f>'1.Metodologia'!$C$23</f>
        <v>15</v>
      </c>
      <c r="AQ42" s="68">
        <f t="shared" si="54"/>
        <v>0</v>
      </c>
      <c r="AR42" s="65">
        <f t="shared" si="55"/>
        <v>0</v>
      </c>
      <c r="AS42" s="66">
        <f>'1.Metodologia'!$D$23</f>
        <v>0</v>
      </c>
      <c r="AT42" s="63">
        <f t="shared" si="56"/>
        <v>0</v>
      </c>
    </row>
    <row r="43" spans="1:46" ht="12.75" thickBot="1">
      <c r="A43" s="45"/>
      <c r="B43" s="46" t="s">
        <v>61</v>
      </c>
      <c r="C43" s="42"/>
      <c r="D43" s="43">
        <f>SUM(D3:D42)</f>
        <v>15122.929999999998</v>
      </c>
      <c r="E43" s="43"/>
      <c r="F43" s="44"/>
      <c r="G43" s="43">
        <f>SUM(G3:G42)</f>
        <v>288709</v>
      </c>
      <c r="H43" s="43">
        <f>SUM(H3:H42)</f>
        <v>288.709</v>
      </c>
      <c r="I43" s="70" t="s">
        <v>18</v>
      </c>
      <c r="J43" s="43">
        <f>SUM(J3:J42)</f>
        <v>240.20588800000002</v>
      </c>
      <c r="K43" s="43">
        <f>SUM(K3:K42)</f>
        <v>2397.6909999999998</v>
      </c>
      <c r="L43" s="43">
        <f>SUM(L3:L42)</f>
        <v>666.02527777777777</v>
      </c>
      <c r="M43" s="69" t="s">
        <v>18</v>
      </c>
      <c r="N43" s="43">
        <f>SUM(N3:N42)</f>
        <v>7.3262780555555551</v>
      </c>
      <c r="O43" s="43">
        <f>SUM(O3:O42)</f>
        <v>0</v>
      </c>
      <c r="P43" s="43" t="s">
        <v>18</v>
      </c>
      <c r="Q43" s="43">
        <f>SUM(Q3:Q42)</f>
        <v>0</v>
      </c>
      <c r="R43" s="43">
        <f>SUM(R3:R42)</f>
        <v>0</v>
      </c>
      <c r="S43" s="43" t="s">
        <v>18</v>
      </c>
      <c r="T43" s="43">
        <f>SUM(T3:T42)</f>
        <v>0</v>
      </c>
      <c r="U43" s="43">
        <f>SUM(U3:U42)</f>
        <v>120700</v>
      </c>
      <c r="V43" s="43" t="s">
        <v>18</v>
      </c>
      <c r="W43" s="43">
        <f>SUM(W3:W42)</f>
        <v>2700059</v>
      </c>
      <c r="X43" s="43">
        <f>SUM(X3:X42)</f>
        <v>750.01638888888897</v>
      </c>
      <c r="Y43" s="43" t="s">
        <v>18</v>
      </c>
      <c r="Z43" s="43">
        <f>SUM(Z3:Z42)</f>
        <v>255.75558861111114</v>
      </c>
      <c r="AA43" s="43">
        <f>SUM(AA3:AA42)</f>
        <v>0</v>
      </c>
      <c r="AB43" s="43" t="s">
        <v>18</v>
      </c>
      <c r="AC43" s="43">
        <f>SUM(AC3:AC42)</f>
        <v>0</v>
      </c>
      <c r="AD43" s="43">
        <f>SUM(AD3:AD42)</f>
        <v>0</v>
      </c>
      <c r="AE43" s="43" t="s">
        <v>18</v>
      </c>
      <c r="AF43" s="43">
        <f>SUM(AF3:AF42)</f>
        <v>0</v>
      </c>
      <c r="AG43" s="43">
        <f>SUM(AG3:AG42)</f>
        <v>105.77799999999999</v>
      </c>
      <c r="AH43" s="43" t="s">
        <v>18</v>
      </c>
      <c r="AI43" s="43">
        <f>SUM(AI3:AI42)</f>
        <v>91070.79</v>
      </c>
      <c r="AJ43" s="43" t="s">
        <v>18</v>
      </c>
      <c r="AK43" s="43">
        <f>SUM(AK3:AK42)</f>
        <v>3660135.0500999996</v>
      </c>
      <c r="AL43" s="43">
        <f>SUM(AL3:AL42)</f>
        <v>1016.7041805833333</v>
      </c>
      <c r="AM43" s="43" t="s">
        <v>18</v>
      </c>
      <c r="AN43" s="73">
        <f>SUM(AN3:AN42)</f>
        <v>280.61035384100001</v>
      </c>
      <c r="AO43" s="74">
        <f>SUM(AO3:AO42)</f>
        <v>10000</v>
      </c>
      <c r="AP43" s="43" t="s">
        <v>18</v>
      </c>
      <c r="AQ43" s="43">
        <f>SUM(AQ3:AQ42)</f>
        <v>150000</v>
      </c>
      <c r="AR43" s="43">
        <f>SUM(AR3:AR42)</f>
        <v>41.666666666666664</v>
      </c>
      <c r="AS43" s="43" t="s">
        <v>18</v>
      </c>
      <c r="AT43" s="75">
        <f>SUM(AT3:AT42)</f>
        <v>0</v>
      </c>
    </row>
    <row r="44" spans="1:46">
      <c r="D44" s="4"/>
      <c r="E44" s="4"/>
    </row>
    <row r="45" spans="1:46">
      <c r="B45" s="272" t="s">
        <v>58</v>
      </c>
      <c r="D45" s="4"/>
      <c r="E45" s="4"/>
    </row>
    <row r="46" spans="1:46">
      <c r="D46" s="4"/>
      <c r="E46" s="4"/>
    </row>
    <row r="47" spans="1:46" ht="24">
      <c r="B47" s="270" t="s">
        <v>59</v>
      </c>
      <c r="C47" s="270" t="s">
        <v>60</v>
      </c>
      <c r="D47" s="270" t="s">
        <v>62</v>
      </c>
      <c r="E47" s="271" t="s">
        <v>36</v>
      </c>
      <c r="F47" s="270" t="s">
        <v>62</v>
      </c>
    </row>
    <row r="48" spans="1:46">
      <c r="B48" s="2" t="str">
        <f>G1</f>
        <v>energia elektryczna</v>
      </c>
      <c r="C48" s="40">
        <f>H43</f>
        <v>288.709</v>
      </c>
      <c r="D48" s="47">
        <f>C48/$C$55</f>
        <v>0.10448653761548152</v>
      </c>
      <c r="E48" s="40">
        <f>J43</f>
        <v>240.20588800000002</v>
      </c>
      <c r="F48" s="47">
        <f>E48/$E$55</f>
        <v>0.30642488531741463</v>
      </c>
    </row>
    <row r="49" spans="2:6">
      <c r="B49" s="2" t="str">
        <f>K1</f>
        <v>ciepło sieciowe</v>
      </c>
      <c r="C49" s="40">
        <f>L43</f>
        <v>666.02527777777777</v>
      </c>
      <c r="D49" s="47">
        <f>C49/$C$55</f>
        <v>0.241040893215623</v>
      </c>
      <c r="E49" s="40">
        <f>N43</f>
        <v>7.3262780555555551</v>
      </c>
      <c r="F49" s="47">
        <f>E49/$E$55</f>
        <v>9.3459570523812558E-3</v>
      </c>
    </row>
    <row r="50" spans="2:6">
      <c r="B50" s="2" t="str">
        <f>U1</f>
        <v>węgiel kamienny</v>
      </c>
      <c r="C50" s="40">
        <f>X43</f>
        <v>750.01638888888897</v>
      </c>
      <c r="D50" s="47">
        <f>C50/$C$55</f>
        <v>0.27143807650563889</v>
      </c>
      <c r="E50" s="40">
        <f>Z43</f>
        <v>255.75558861111114</v>
      </c>
      <c r="F50" s="47">
        <f>E50/$E$55</f>
        <v>0.32626126512538939</v>
      </c>
    </row>
    <row r="51" spans="2:6">
      <c r="B51" s="2" t="str">
        <f>AG1</f>
        <v>olej opałowy</v>
      </c>
      <c r="C51" s="40">
        <f>AL43</f>
        <v>1016.7041805833333</v>
      </c>
      <c r="D51" s="47">
        <f>C51/$C$55</f>
        <v>0.36795492904044474</v>
      </c>
      <c r="E51" s="40">
        <f>AN43</f>
        <v>280.61035384100001</v>
      </c>
      <c r="F51" s="47">
        <f>E51/$E$55</f>
        <v>0.3579678925048147</v>
      </c>
    </row>
    <row r="52" spans="2:6">
      <c r="B52" s="2" t="s">
        <v>84</v>
      </c>
      <c r="C52" s="40">
        <f>AR43</f>
        <v>41.666666666666664</v>
      </c>
      <c r="D52" s="47">
        <f>C52/$C$55</f>
        <v>1.5079563622811883E-2</v>
      </c>
      <c r="E52" s="40">
        <f>AT43</f>
        <v>0</v>
      </c>
      <c r="F52" s="47">
        <f>E52/$E$55</f>
        <v>0</v>
      </c>
    </row>
    <row r="53" spans="2:6">
      <c r="B53" s="2" t="str">
        <f>O1</f>
        <v>gaz ziemny</v>
      </c>
      <c r="C53" s="40">
        <f>R43</f>
        <v>0</v>
      </c>
      <c r="D53" s="47">
        <f t="shared" ref="D53" si="67">C53/$C$55</f>
        <v>0</v>
      </c>
      <c r="E53" s="40">
        <f>T43</f>
        <v>0</v>
      </c>
      <c r="F53" s="47">
        <f t="shared" ref="F53" si="68">E53/$E$55</f>
        <v>0</v>
      </c>
    </row>
    <row r="54" spans="2:6">
      <c r="B54" s="2" t="str">
        <f>AA1</f>
        <v>gaz płynny</v>
      </c>
      <c r="C54" s="40">
        <f>AD43</f>
        <v>0</v>
      </c>
      <c r="D54" s="47">
        <f>C54/$C$55</f>
        <v>0</v>
      </c>
      <c r="E54" s="40">
        <f>AF43</f>
        <v>0</v>
      </c>
      <c r="F54" s="47">
        <f>E54/$E$55</f>
        <v>0</v>
      </c>
    </row>
    <row r="55" spans="2:6">
      <c r="B55" s="92" t="s">
        <v>50</v>
      </c>
      <c r="C55" s="93">
        <f>SUM(C48:C54)</f>
        <v>2763.1215139166666</v>
      </c>
      <c r="D55" s="97">
        <f>SUM(D48:D54)</f>
        <v>1</v>
      </c>
      <c r="E55" s="93">
        <f>SUM(E48:E54)</f>
        <v>783.89810850766673</v>
      </c>
      <c r="F55" s="97">
        <f>SUM(F48:F54)</f>
        <v>1</v>
      </c>
    </row>
  </sheetData>
  <mergeCells count="15">
    <mergeCell ref="A1:A2"/>
    <mergeCell ref="B1:B2"/>
    <mergeCell ref="C1:C2"/>
    <mergeCell ref="D1:D2"/>
    <mergeCell ref="E1:E2"/>
    <mergeCell ref="AO1:AT1"/>
    <mergeCell ref="E6:E7"/>
    <mergeCell ref="F6:F7"/>
    <mergeCell ref="F1:F2"/>
    <mergeCell ref="G1:J1"/>
    <mergeCell ref="K1:N1"/>
    <mergeCell ref="O1:T1"/>
    <mergeCell ref="U1:Z1"/>
    <mergeCell ref="AA1:AF1"/>
    <mergeCell ref="AG1:AN1"/>
  </mergeCells>
  <pageMargins left="0.7" right="0.7" top="0.75" bottom="0.75" header="0.3" footer="0.3"/>
  <pageSetup paperSize="9" scale="1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34"/>
  <sheetViews>
    <sheetView view="pageBreakPreview" zoomScale="70" zoomScaleNormal="80" zoomScaleSheetLayoutView="70" workbookViewId="0"/>
  </sheetViews>
  <sheetFormatPr defaultRowHeight="15"/>
  <cols>
    <col min="1" max="1" width="4" customWidth="1"/>
    <col min="2" max="2" width="23.85546875" customWidth="1"/>
    <col min="3" max="45" width="12.7109375" customWidth="1"/>
    <col min="49" max="49" width="40.5703125" customWidth="1"/>
  </cols>
  <sheetData>
    <row r="1" spans="1:36">
      <c r="B1" s="278" t="s">
        <v>190</v>
      </c>
    </row>
    <row r="2" spans="1:36">
      <c r="B2" s="279" t="s">
        <v>59</v>
      </c>
      <c r="C2" s="579" t="s">
        <v>66</v>
      </c>
      <c r="D2" s="579"/>
      <c r="E2" s="279" t="s">
        <v>83</v>
      </c>
      <c r="F2" s="280" t="s">
        <v>82</v>
      </c>
      <c r="H2" s="215"/>
      <c r="I2" s="216"/>
    </row>
    <row r="3" spans="1:36">
      <c r="B3" s="120" t="s">
        <v>9</v>
      </c>
      <c r="C3" s="580">
        <v>13003.89</v>
      </c>
      <c r="D3" s="581"/>
      <c r="E3" s="119">
        <f>C3/$C$10</f>
        <v>5.6725263492909891E-2</v>
      </c>
      <c r="F3" s="122">
        <v>6617</v>
      </c>
      <c r="G3" t="s">
        <v>183</v>
      </c>
      <c r="H3" s="217" t="s">
        <v>187</v>
      </c>
      <c r="I3" s="216"/>
    </row>
    <row r="4" spans="1:36">
      <c r="B4" s="120" t="s">
        <v>10</v>
      </c>
      <c r="C4" s="580">
        <v>1217.6300000000001</v>
      </c>
      <c r="D4" s="581"/>
      <c r="E4" s="119">
        <f>C4/$C$10</f>
        <v>5.3115169835235366E-3</v>
      </c>
      <c r="F4" s="121">
        <v>5600</v>
      </c>
      <c r="G4" t="s">
        <v>184</v>
      </c>
      <c r="H4" s="215" t="s">
        <v>188</v>
      </c>
      <c r="I4" s="218"/>
    </row>
    <row r="5" spans="1:36">
      <c r="B5" s="120" t="s">
        <v>55</v>
      </c>
      <c r="C5" s="577">
        <f>E5*$C$10</f>
        <v>84544.951168</v>
      </c>
      <c r="D5" s="577"/>
      <c r="E5" s="119">
        <v>0.36880000000000002</v>
      </c>
      <c r="F5" s="219"/>
      <c r="H5" s="219" t="s">
        <v>189</v>
      </c>
      <c r="I5" s="218"/>
    </row>
    <row r="6" spans="1:36">
      <c r="B6" s="120" t="s">
        <v>84</v>
      </c>
      <c r="C6" s="577">
        <f t="shared" ref="C6:C8" si="0">E6*$C$10</f>
        <v>96075.892175999994</v>
      </c>
      <c r="D6" s="577"/>
      <c r="E6" s="119">
        <v>0.41909999999999997</v>
      </c>
      <c r="F6" s="219"/>
      <c r="H6" s="219"/>
      <c r="I6" s="218"/>
    </row>
    <row r="7" spans="1:36">
      <c r="B7" s="120" t="s">
        <v>16</v>
      </c>
      <c r="C7" s="577">
        <f t="shared" si="0"/>
        <v>21425.084425599998</v>
      </c>
      <c r="D7" s="577"/>
      <c r="E7" s="119">
        <v>9.3460000000000001E-2</v>
      </c>
      <c r="F7" s="219"/>
      <c r="H7" s="219" t="s">
        <v>206</v>
      </c>
      <c r="I7" s="218"/>
    </row>
    <row r="8" spans="1:36">
      <c r="B8" s="120" t="s">
        <v>56</v>
      </c>
      <c r="C8" s="577">
        <f t="shared" si="0"/>
        <v>12975.907754751999</v>
      </c>
      <c r="D8" s="577"/>
      <c r="E8" s="119">
        <v>5.6603199999999999E-2</v>
      </c>
      <c r="F8" s="219"/>
      <c r="H8" s="219"/>
      <c r="I8" s="218"/>
    </row>
    <row r="9" spans="1:36">
      <c r="B9" s="279" t="s">
        <v>50</v>
      </c>
      <c r="C9" s="578">
        <f>C3+C4+C5+C6+C7+C8</f>
        <v>229243.35552435202</v>
      </c>
      <c r="D9" s="578"/>
      <c r="E9" s="281">
        <f>E3+E4+E5+E6+E7+E8</f>
        <v>0.99999998047643335</v>
      </c>
      <c r="F9" s="219"/>
      <c r="G9" s="219"/>
      <c r="H9" s="218"/>
    </row>
    <row r="10" spans="1:36" ht="39" hidden="1">
      <c r="B10" s="151" t="s">
        <v>85</v>
      </c>
      <c r="C10" s="576">
        <f>229243.36</f>
        <v>229243.36</v>
      </c>
      <c r="D10" s="576"/>
      <c r="E10" s="35"/>
      <c r="F10" s="216"/>
      <c r="G10" s="216"/>
      <c r="H10" s="216"/>
    </row>
    <row r="12" spans="1:36" ht="15.75" thickBot="1"/>
    <row r="13" spans="1:36" ht="15" customHeight="1">
      <c r="A13" s="563" t="s">
        <v>0</v>
      </c>
      <c r="B13" s="561" t="s">
        <v>25</v>
      </c>
      <c r="C13" s="571" t="s">
        <v>198</v>
      </c>
      <c r="D13" s="573" t="s">
        <v>4</v>
      </c>
      <c r="E13" s="574"/>
      <c r="F13" s="575"/>
      <c r="G13" s="566" t="s">
        <v>9</v>
      </c>
      <c r="H13" s="564"/>
      <c r="I13" s="564"/>
      <c r="J13" s="565"/>
      <c r="K13" s="554" t="s">
        <v>17</v>
      </c>
      <c r="L13" s="555"/>
      <c r="M13" s="555"/>
      <c r="N13" s="555"/>
      <c r="O13" s="555"/>
      <c r="P13" s="556"/>
      <c r="Q13" s="554" t="s">
        <v>55</v>
      </c>
      <c r="R13" s="555"/>
      <c r="S13" s="555"/>
      <c r="T13" s="555"/>
      <c r="U13" s="556"/>
      <c r="V13" s="554" t="s">
        <v>84</v>
      </c>
      <c r="W13" s="555"/>
      <c r="X13" s="555"/>
      <c r="Y13" s="555"/>
      <c r="Z13" s="556"/>
      <c r="AA13" s="554" t="s">
        <v>16</v>
      </c>
      <c r="AB13" s="555"/>
      <c r="AC13" s="555"/>
      <c r="AD13" s="555"/>
      <c r="AE13" s="556"/>
      <c r="AF13" s="554" t="s">
        <v>56</v>
      </c>
      <c r="AG13" s="555"/>
      <c r="AH13" s="555"/>
      <c r="AI13" s="555"/>
      <c r="AJ13" s="556"/>
    </row>
    <row r="14" spans="1:36" ht="37.5" thickBot="1">
      <c r="A14" s="569"/>
      <c r="B14" s="562"/>
      <c r="C14" s="572"/>
      <c r="D14" s="3" t="s">
        <v>6</v>
      </c>
      <c r="E14" s="11" t="s">
        <v>7</v>
      </c>
      <c r="F14" s="12" t="s">
        <v>8</v>
      </c>
      <c r="G14" s="13" t="s">
        <v>13</v>
      </c>
      <c r="H14" s="11" t="s">
        <v>6</v>
      </c>
      <c r="I14" s="11" t="s">
        <v>7</v>
      </c>
      <c r="J14" s="12" t="s">
        <v>8</v>
      </c>
      <c r="K14" s="13" t="s">
        <v>14</v>
      </c>
      <c r="L14" s="114" t="s">
        <v>40</v>
      </c>
      <c r="M14" s="114" t="s">
        <v>41</v>
      </c>
      <c r="N14" s="114" t="s">
        <v>42</v>
      </c>
      <c r="O14" s="11" t="s">
        <v>7</v>
      </c>
      <c r="P14" s="12" t="s">
        <v>8</v>
      </c>
      <c r="Q14" s="113" t="s">
        <v>87</v>
      </c>
      <c r="R14" s="114" t="s">
        <v>88</v>
      </c>
      <c r="S14" s="114" t="s">
        <v>42</v>
      </c>
      <c r="T14" s="11" t="s">
        <v>7</v>
      </c>
      <c r="U14" s="14" t="s">
        <v>8</v>
      </c>
      <c r="V14" s="113" t="s">
        <v>87</v>
      </c>
      <c r="W14" s="114" t="s">
        <v>88</v>
      </c>
      <c r="X14" s="114" t="s">
        <v>42</v>
      </c>
      <c r="Y14" s="11" t="s">
        <v>7</v>
      </c>
      <c r="Z14" s="12" t="s">
        <v>8</v>
      </c>
      <c r="AA14" s="113" t="s">
        <v>87</v>
      </c>
      <c r="AB14" s="114" t="s">
        <v>88</v>
      </c>
      <c r="AC14" s="114" t="s">
        <v>42</v>
      </c>
      <c r="AD14" s="11" t="s">
        <v>7</v>
      </c>
      <c r="AE14" s="12" t="s">
        <v>8</v>
      </c>
      <c r="AF14" s="113" t="s">
        <v>87</v>
      </c>
      <c r="AG14" s="114" t="s">
        <v>88</v>
      </c>
      <c r="AH14" s="114" t="s">
        <v>42</v>
      </c>
      <c r="AI14" s="11" t="s">
        <v>7</v>
      </c>
      <c r="AJ14" s="12" t="s">
        <v>8</v>
      </c>
    </row>
    <row r="15" spans="1:36" s="230" customFormat="1">
      <c r="A15" s="220"/>
      <c r="B15" s="221" t="s">
        <v>4</v>
      </c>
      <c r="C15" s="222" t="s">
        <v>18</v>
      </c>
      <c r="D15" s="282">
        <v>9246.5300000000007</v>
      </c>
      <c r="E15" s="283">
        <f>'1.Metodologia'!D17</f>
        <v>0.83199999999999996</v>
      </c>
      <c r="F15" s="284">
        <f>D15*E15</f>
        <v>7693.1129600000004</v>
      </c>
      <c r="G15" s="224"/>
      <c r="H15" s="225"/>
      <c r="I15" s="225"/>
      <c r="J15" s="226"/>
      <c r="K15" s="224"/>
      <c r="L15" s="227"/>
      <c r="M15" s="227"/>
      <c r="N15" s="227"/>
      <c r="O15" s="225"/>
      <c r="P15" s="226"/>
      <c r="Q15" s="228"/>
      <c r="R15" s="227"/>
      <c r="S15" s="227"/>
      <c r="T15" s="225"/>
      <c r="U15" s="229"/>
      <c r="V15" s="228"/>
      <c r="W15" s="227"/>
      <c r="X15" s="227"/>
      <c r="Y15" s="225"/>
      <c r="Z15" s="226"/>
      <c r="AA15" s="228"/>
      <c r="AB15" s="227"/>
      <c r="AC15" s="227"/>
      <c r="AD15" s="225"/>
      <c r="AE15" s="226"/>
      <c r="AF15" s="228"/>
      <c r="AG15" s="227"/>
      <c r="AH15" s="227"/>
      <c r="AI15" s="225"/>
      <c r="AJ15" s="226"/>
    </row>
    <row r="16" spans="1:36" s="230" customFormat="1">
      <c r="A16" s="231"/>
      <c r="B16" s="232" t="s">
        <v>9</v>
      </c>
      <c r="C16" s="233">
        <f>C3</f>
        <v>13003.89</v>
      </c>
      <c r="D16" s="234"/>
      <c r="E16" s="232"/>
      <c r="F16" s="235"/>
      <c r="G16" s="286">
        <v>6617</v>
      </c>
      <c r="H16" s="287">
        <f>G16/3.6</f>
        <v>1838.0555555555554</v>
      </c>
      <c r="I16" s="288">
        <f>'1.Metodologia'!D18</f>
        <v>1.0999999999999999E-2</v>
      </c>
      <c r="J16" s="289">
        <f>H16*I16</f>
        <v>20.218611111111109</v>
      </c>
      <c r="K16" s="238"/>
      <c r="L16" s="236"/>
      <c r="M16" s="236"/>
      <c r="N16" s="236"/>
      <c r="O16" s="236"/>
      <c r="P16" s="237"/>
      <c r="Q16" s="238"/>
      <c r="R16" s="236"/>
      <c r="S16" s="236"/>
      <c r="T16" s="236"/>
      <c r="U16" s="239"/>
      <c r="V16" s="240"/>
      <c r="W16" s="241"/>
      <c r="X16" s="241"/>
      <c r="Y16" s="241"/>
      <c r="Z16" s="235"/>
      <c r="AA16" s="240"/>
      <c r="AB16" s="241"/>
      <c r="AC16" s="241"/>
      <c r="AD16" s="241"/>
      <c r="AE16" s="235"/>
      <c r="AF16" s="240"/>
      <c r="AG16" s="241"/>
      <c r="AH16" s="241"/>
      <c r="AI16" s="241"/>
      <c r="AJ16" s="235"/>
    </row>
    <row r="17" spans="1:36" s="230" customFormat="1">
      <c r="A17" s="231"/>
      <c r="B17" s="232" t="s">
        <v>86</v>
      </c>
      <c r="C17" s="233">
        <f>C4</f>
        <v>1217.6300000000001</v>
      </c>
      <c r="D17" s="234"/>
      <c r="E17" s="232"/>
      <c r="F17" s="235"/>
      <c r="G17" s="242"/>
      <c r="H17" s="243"/>
      <c r="I17" s="243"/>
      <c r="J17" s="223"/>
      <c r="K17" s="290">
        <f>F4</f>
        <v>5600</v>
      </c>
      <c r="L17" s="291">
        <f>'1.Metodologia'!$C$19</f>
        <v>34.39</v>
      </c>
      <c r="M17" s="291">
        <f>K17*L17</f>
        <v>192584</v>
      </c>
      <c r="N17" s="291">
        <f>M17/1000/3.6</f>
        <v>53.495555555555555</v>
      </c>
      <c r="O17" s="292">
        <f>'1.Metodologia'!D19</f>
        <v>0.20100000000000001</v>
      </c>
      <c r="P17" s="284">
        <f>N17*O17</f>
        <v>10.752606666666667</v>
      </c>
      <c r="Q17" s="244"/>
      <c r="R17" s="243"/>
      <c r="S17" s="243"/>
      <c r="T17" s="243"/>
      <c r="U17" s="245"/>
      <c r="V17" s="246"/>
      <c r="W17" s="247"/>
      <c r="X17" s="247"/>
      <c r="Y17" s="247"/>
      <c r="Z17" s="248"/>
      <c r="AA17" s="246"/>
      <c r="AB17" s="247"/>
      <c r="AC17" s="247"/>
      <c r="AD17" s="247"/>
      <c r="AE17" s="248"/>
      <c r="AF17" s="246"/>
      <c r="AG17" s="247"/>
      <c r="AH17" s="247"/>
      <c r="AI17" s="247"/>
      <c r="AJ17" s="248"/>
    </row>
    <row r="18" spans="1:36" s="230" customFormat="1">
      <c r="A18" s="231"/>
      <c r="B18" s="232" t="s">
        <v>185</v>
      </c>
      <c r="C18" s="249" t="s">
        <v>18</v>
      </c>
      <c r="D18" s="234"/>
      <c r="E18" s="232"/>
      <c r="F18" s="235"/>
      <c r="G18" s="242"/>
      <c r="H18" s="243"/>
      <c r="I18" s="243"/>
      <c r="J18" s="223"/>
      <c r="K18" s="290">
        <v>7600</v>
      </c>
      <c r="L18" s="291">
        <f>'1.Metodologia'!$C$19</f>
        <v>34.39</v>
      </c>
      <c r="M18" s="291">
        <f>K18*L18</f>
        <v>261364</v>
      </c>
      <c r="N18" s="291">
        <f>M18/1000/3.6</f>
        <v>72.601111111111109</v>
      </c>
      <c r="O18" s="292">
        <f>'1.Metodologia'!D19</f>
        <v>0.20100000000000001</v>
      </c>
      <c r="P18" s="284">
        <f>N18*O18</f>
        <v>14.592823333333333</v>
      </c>
      <c r="Q18" s="244"/>
      <c r="R18" s="243"/>
      <c r="S18" s="243"/>
      <c r="T18" s="243"/>
      <c r="U18" s="245"/>
      <c r="V18" s="246"/>
      <c r="W18" s="247"/>
      <c r="X18" s="247"/>
      <c r="Y18" s="247"/>
      <c r="Z18" s="248"/>
      <c r="AA18" s="246"/>
      <c r="AB18" s="247"/>
      <c r="AC18" s="247"/>
      <c r="AD18" s="247"/>
      <c r="AE18" s="248"/>
      <c r="AF18" s="246"/>
      <c r="AG18" s="247"/>
      <c r="AH18" s="247"/>
      <c r="AI18" s="247"/>
      <c r="AJ18" s="248"/>
    </row>
    <row r="19" spans="1:36">
      <c r="A19" s="2"/>
      <c r="B19" s="34" t="s">
        <v>55</v>
      </c>
      <c r="C19" s="129">
        <f>C5</f>
        <v>84544.951168</v>
      </c>
      <c r="D19" s="84"/>
      <c r="E19" s="34"/>
      <c r="F19" s="99"/>
      <c r="G19" s="30"/>
      <c r="H19" s="31"/>
      <c r="I19" s="31"/>
      <c r="J19" s="20"/>
      <c r="K19" s="30"/>
      <c r="L19" s="31"/>
      <c r="M19" s="31"/>
      <c r="N19" s="31"/>
      <c r="O19" s="31"/>
      <c r="P19" s="20"/>
      <c r="Q19" s="293">
        <v>150</v>
      </c>
      <c r="R19" s="291">
        <f>C19*Q19</f>
        <v>12681742.6752</v>
      </c>
      <c r="S19" s="291">
        <f>R19/1000</f>
        <v>12681.742675200001</v>
      </c>
      <c r="T19" s="292">
        <f>'1.Metodologia'!D21</f>
        <v>0.34100000000000003</v>
      </c>
      <c r="U19" s="284">
        <f>S19*T19</f>
        <v>4324.4742522432007</v>
      </c>
      <c r="V19" s="100"/>
      <c r="W19" s="101"/>
      <c r="X19" s="101"/>
      <c r="Y19" s="101"/>
      <c r="Z19" s="102"/>
      <c r="AA19" s="100"/>
      <c r="AB19" s="101"/>
      <c r="AC19" s="101"/>
      <c r="AD19" s="101"/>
      <c r="AE19" s="102"/>
      <c r="AF19" s="100"/>
      <c r="AG19" s="101"/>
      <c r="AH19" s="101"/>
      <c r="AI19" s="101"/>
      <c r="AJ19" s="102"/>
    </row>
    <row r="20" spans="1:36">
      <c r="A20" s="2"/>
      <c r="B20" s="34" t="s">
        <v>84</v>
      </c>
      <c r="C20" s="129">
        <f>C6</f>
        <v>96075.892175999994</v>
      </c>
      <c r="D20" s="84"/>
      <c r="E20" s="34"/>
      <c r="F20" s="99"/>
      <c r="G20" s="30"/>
      <c r="H20" s="31"/>
      <c r="I20" s="31"/>
      <c r="J20" s="20"/>
      <c r="K20" s="30"/>
      <c r="L20" s="31"/>
      <c r="M20" s="31"/>
      <c r="N20" s="31"/>
      <c r="O20" s="31"/>
      <c r="P20" s="20"/>
      <c r="Q20" s="18"/>
      <c r="R20" s="31"/>
      <c r="S20" s="31"/>
      <c r="T20" s="31"/>
      <c r="U20" s="29"/>
      <c r="V20" s="293">
        <v>150</v>
      </c>
      <c r="W20" s="291">
        <f>V20*C20</f>
        <v>14411383.826399999</v>
      </c>
      <c r="X20" s="291">
        <f>W20/1000</f>
        <v>14411.383826399999</v>
      </c>
      <c r="Y20" s="292">
        <v>0</v>
      </c>
      <c r="Z20" s="284">
        <f>X20*Y20</f>
        <v>0</v>
      </c>
      <c r="AA20" s="18"/>
      <c r="AB20" s="31"/>
      <c r="AC20" s="31"/>
      <c r="AD20" s="125"/>
      <c r="AE20" s="20"/>
      <c r="AF20" s="18"/>
      <c r="AG20" s="31"/>
      <c r="AH20" s="31"/>
      <c r="AI20" s="125"/>
      <c r="AJ20" s="20"/>
    </row>
    <row r="21" spans="1:36">
      <c r="A21" s="2"/>
      <c r="B21" s="34" t="s">
        <v>16</v>
      </c>
      <c r="C21" s="129">
        <f>C7</f>
        <v>21425.084425599998</v>
      </c>
      <c r="D21" s="84"/>
      <c r="E21" s="34"/>
      <c r="F21" s="99"/>
      <c r="G21" s="30"/>
      <c r="H21" s="31"/>
      <c r="I21" s="31"/>
      <c r="J21" s="20"/>
      <c r="K21" s="30"/>
      <c r="L21" s="31"/>
      <c r="M21" s="31"/>
      <c r="N21" s="31"/>
      <c r="O21" s="31"/>
      <c r="P21" s="20"/>
      <c r="Q21" s="18"/>
      <c r="R21" s="31"/>
      <c r="S21" s="31"/>
      <c r="T21" s="31"/>
      <c r="U21" s="29"/>
      <c r="V21" s="18"/>
      <c r="W21" s="31"/>
      <c r="X21" s="31"/>
      <c r="Y21" s="125"/>
      <c r="Z21" s="20"/>
      <c r="AA21" s="293">
        <v>150</v>
      </c>
      <c r="AB21" s="291">
        <f>AA21*C21</f>
        <v>3213762.6638399996</v>
      </c>
      <c r="AC21" s="291">
        <f>AB21/1000</f>
        <v>3213.7626638399997</v>
      </c>
      <c r="AD21" s="292">
        <f>'1.Metodologia'!D22</f>
        <v>0.27600000000000002</v>
      </c>
      <c r="AE21" s="284">
        <f>AC21*AD21</f>
        <v>886.99849521984004</v>
      </c>
      <c r="AF21" s="18"/>
      <c r="AG21" s="31"/>
      <c r="AH21" s="31"/>
      <c r="AI21" s="125"/>
      <c r="AJ21" s="20"/>
    </row>
    <row r="22" spans="1:36" ht="15.75" thickBot="1">
      <c r="A22" s="2"/>
      <c r="B22" s="34" t="s">
        <v>56</v>
      </c>
      <c r="C22" s="129">
        <f>C8</f>
        <v>12975.907754751999</v>
      </c>
      <c r="D22" s="84"/>
      <c r="E22" s="34"/>
      <c r="F22" s="99"/>
      <c r="G22" s="30"/>
      <c r="H22" s="31"/>
      <c r="I22" s="31"/>
      <c r="J22" s="20"/>
      <c r="K22" s="30"/>
      <c r="L22" s="31"/>
      <c r="M22" s="31"/>
      <c r="N22" s="31"/>
      <c r="O22" s="31"/>
      <c r="P22" s="20"/>
      <c r="Q22" s="18"/>
      <c r="R22" s="31"/>
      <c r="S22" s="31"/>
      <c r="T22" s="31"/>
      <c r="U22" s="29"/>
      <c r="V22" s="18"/>
      <c r="W22" s="31"/>
      <c r="X22" s="31"/>
      <c r="Y22" s="125"/>
      <c r="Z22" s="20"/>
      <c r="AA22" s="18"/>
      <c r="AB22" s="31"/>
      <c r="AC22" s="31"/>
      <c r="AD22" s="125"/>
      <c r="AE22" s="20"/>
      <c r="AF22" s="293">
        <v>150</v>
      </c>
      <c r="AG22" s="291">
        <f>AF22*C22</f>
        <v>1946386.1632127999</v>
      </c>
      <c r="AH22" s="291">
        <f>AG22/1000</f>
        <v>1946.3861632127998</v>
      </c>
      <c r="AI22" s="292">
        <f>'1.Metodologia'!D20</f>
        <v>0.22500000000000001</v>
      </c>
      <c r="AJ22" s="284">
        <f>AH22*AI22</f>
        <v>437.93688672287999</v>
      </c>
    </row>
    <row r="23" spans="1:36" ht="15.75" thickBot="1">
      <c r="A23" s="42"/>
      <c r="B23" s="126" t="s">
        <v>50</v>
      </c>
      <c r="C23" s="127">
        <f>SUM(C16:C22)</f>
        <v>229243.35552435202</v>
      </c>
      <c r="D23" s="131">
        <f>SUM(D15:D22)</f>
        <v>9246.5300000000007</v>
      </c>
      <c r="E23" s="130"/>
      <c r="F23" s="26">
        <f>SUM(F15:F22)</f>
        <v>7693.1129600000004</v>
      </c>
      <c r="G23" s="27"/>
      <c r="H23" s="25">
        <f>SUM(H16:H22)</f>
        <v>1838.0555555555554</v>
      </c>
      <c r="I23" s="25"/>
      <c r="J23" s="26">
        <f>SUM(J16:J22)</f>
        <v>20.218611111111109</v>
      </c>
      <c r="K23" s="27"/>
      <c r="L23" s="25"/>
      <c r="M23" s="25"/>
      <c r="N23" s="25">
        <f>SUM(N16:N22)</f>
        <v>126.09666666666666</v>
      </c>
      <c r="O23" s="25"/>
      <c r="P23" s="25">
        <f>SUM(P16:P22)</f>
        <v>25.34543</v>
      </c>
      <c r="Q23" s="28"/>
      <c r="R23" s="25"/>
      <c r="S23" s="25">
        <f>SUM(S16:S22)</f>
        <v>12681.742675200001</v>
      </c>
      <c r="T23" s="25"/>
      <c r="U23" s="25">
        <f>SUM(U16:U22)</f>
        <v>4324.4742522432007</v>
      </c>
      <c r="V23" s="28"/>
      <c r="W23" s="25"/>
      <c r="X23" s="25">
        <f>SUM(X16:X22)</f>
        <v>14411.383826399999</v>
      </c>
      <c r="Y23" s="128"/>
      <c r="Z23" s="25">
        <f>SUM(Z16:Z22)</f>
        <v>0</v>
      </c>
      <c r="AA23" s="28"/>
      <c r="AB23" s="25"/>
      <c r="AC23" s="25">
        <f>SUM(AC16:AC22)</f>
        <v>3213.7626638399997</v>
      </c>
      <c r="AD23" s="128"/>
      <c r="AE23" s="25">
        <f>SUM(AE16:AE22)</f>
        <v>886.99849521984004</v>
      </c>
      <c r="AF23" s="28"/>
      <c r="AG23" s="25"/>
      <c r="AH23" s="25">
        <f>SUM(AH16:AH22)</f>
        <v>1946.3861632127998</v>
      </c>
      <c r="AI23" s="128"/>
      <c r="AJ23" s="26">
        <f>SUM(AJ16:AJ22)</f>
        <v>437.93688672287999</v>
      </c>
    </row>
    <row r="25" spans="1:36" ht="15.75" thickBot="1"/>
    <row r="26" spans="1:36" ht="24.75" thickBot="1">
      <c r="B26" s="277" t="s">
        <v>59</v>
      </c>
      <c r="C26" s="274" t="s">
        <v>60</v>
      </c>
      <c r="D26" s="275" t="s">
        <v>62</v>
      </c>
      <c r="E26" s="276" t="s">
        <v>36</v>
      </c>
      <c r="F26" s="275" t="s">
        <v>62</v>
      </c>
    </row>
    <row r="27" spans="1:36">
      <c r="B27" s="123" t="s">
        <v>4</v>
      </c>
      <c r="C27" s="144">
        <f>D23</f>
        <v>9246.5300000000007</v>
      </c>
      <c r="D27" s="136">
        <f>C27/$C$34</f>
        <v>0.21274017648247609</v>
      </c>
      <c r="E27" s="140">
        <f>F23</f>
        <v>7693.1129600000004</v>
      </c>
      <c r="F27" s="136">
        <f>E27/$E$34</f>
        <v>0.57462378079609122</v>
      </c>
    </row>
    <row r="28" spans="1:36">
      <c r="B28" s="132" t="s">
        <v>9</v>
      </c>
      <c r="C28" s="145">
        <f>H23</f>
        <v>1838.0555555555554</v>
      </c>
      <c r="D28" s="133">
        <f t="shared" ref="D28:D34" si="1">C28/$C$34</f>
        <v>4.2289189920271114E-2</v>
      </c>
      <c r="E28" s="141">
        <f>J23</f>
        <v>20.218611111111109</v>
      </c>
      <c r="F28" s="133">
        <f t="shared" ref="F28:F34" si="2">E28/$E$34</f>
        <v>1.5101942243042955E-3</v>
      </c>
    </row>
    <row r="29" spans="1:36">
      <c r="B29" s="134" t="s">
        <v>10</v>
      </c>
      <c r="C29" s="145">
        <f>N23</f>
        <v>126.09666666666666</v>
      </c>
      <c r="D29" s="133">
        <f t="shared" si="1"/>
        <v>2.9011777521425466E-3</v>
      </c>
      <c r="E29" s="141">
        <f>P23</f>
        <v>25.34543</v>
      </c>
      <c r="F29" s="133">
        <f t="shared" si="2"/>
        <v>1.8931331033650483E-3</v>
      </c>
    </row>
    <row r="30" spans="1:36">
      <c r="B30" s="134" t="s">
        <v>55</v>
      </c>
      <c r="C30" s="145">
        <f>S23</f>
        <v>12681.742675200001</v>
      </c>
      <c r="D30" s="133">
        <f t="shared" si="1"/>
        <v>0.29177606894990837</v>
      </c>
      <c r="E30" s="141">
        <f>U23</f>
        <v>4324.4742522432007</v>
      </c>
      <c r="F30" s="133">
        <f t="shared" si="2"/>
        <v>0.32300913267486159</v>
      </c>
    </row>
    <row r="31" spans="1:36">
      <c r="B31" s="134" t="s">
        <v>84</v>
      </c>
      <c r="C31" s="145">
        <f>X23</f>
        <v>14411.383826399999</v>
      </c>
      <c r="D31" s="133">
        <f t="shared" si="1"/>
        <v>0.33157090698727382</v>
      </c>
      <c r="E31" s="141">
        <f>Z23</f>
        <v>0</v>
      </c>
      <c r="F31" s="133">
        <f t="shared" si="2"/>
        <v>0</v>
      </c>
    </row>
    <row r="32" spans="1:36">
      <c r="B32" s="134" t="s">
        <v>16</v>
      </c>
      <c r="C32" s="145">
        <f>AC23</f>
        <v>3213.7626638399997</v>
      </c>
      <c r="D32" s="133">
        <f t="shared" si="1"/>
        <v>7.3940866063065172E-2</v>
      </c>
      <c r="E32" s="141">
        <f>AE23</f>
        <v>886.99849521984004</v>
      </c>
      <c r="F32" s="133">
        <f t="shared" si="2"/>
        <v>6.6252820091656117E-2</v>
      </c>
    </row>
    <row r="33" spans="2:6" ht="15.75" thickBot="1">
      <c r="B33" s="137" t="s">
        <v>56</v>
      </c>
      <c r="C33" s="146">
        <f>AH23</f>
        <v>1946.3861632127998</v>
      </c>
      <c r="D33" s="138">
        <f t="shared" si="1"/>
        <v>4.4781613844862934E-2</v>
      </c>
      <c r="E33" s="142">
        <f>AJ23</f>
        <v>437.93688672287999</v>
      </c>
      <c r="F33" s="138">
        <f t="shared" si="2"/>
        <v>3.2710939109721691E-2</v>
      </c>
    </row>
    <row r="34" spans="2:6" ht="15.75" thickBot="1">
      <c r="B34" s="139" t="s">
        <v>50</v>
      </c>
      <c r="C34" s="147">
        <f>SUM(C27:C33)</f>
        <v>43463.95755087502</v>
      </c>
      <c r="D34" s="135">
        <f t="shared" si="1"/>
        <v>1</v>
      </c>
      <c r="E34" s="143">
        <f>SUM(E27:E33)</f>
        <v>13388.086635297033</v>
      </c>
      <c r="F34" s="135">
        <f t="shared" si="2"/>
        <v>1</v>
      </c>
    </row>
  </sheetData>
  <mergeCells count="19">
    <mergeCell ref="C5:D5"/>
    <mergeCell ref="C6:D6"/>
    <mergeCell ref="C2:D2"/>
    <mergeCell ref="C3:D3"/>
    <mergeCell ref="C4:D4"/>
    <mergeCell ref="C10:D10"/>
    <mergeCell ref="A13:A14"/>
    <mergeCell ref="B13:B14"/>
    <mergeCell ref="C7:D7"/>
    <mergeCell ref="C8:D8"/>
    <mergeCell ref="C9:D9"/>
    <mergeCell ref="Q13:U13"/>
    <mergeCell ref="V13:Z13"/>
    <mergeCell ref="AA13:AE13"/>
    <mergeCell ref="AF13:AJ13"/>
    <mergeCell ref="C13:C14"/>
    <mergeCell ref="G13:J13"/>
    <mergeCell ref="K13:P13"/>
    <mergeCell ref="D13:F13"/>
  </mergeCells>
  <pageMargins left="0.7" right="0.7" top="0.75" bottom="0.75" header="0.3" footer="0.3"/>
  <pageSetup paperSize="9" scale="1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AH123"/>
  <sheetViews>
    <sheetView view="pageBreakPreview" zoomScaleSheetLayoutView="100" workbookViewId="0">
      <selection activeCell="O37" sqref="O37"/>
    </sheetView>
  </sheetViews>
  <sheetFormatPr defaultRowHeight="12"/>
  <cols>
    <col min="1" max="1" width="2.28515625" style="7" customWidth="1"/>
    <col min="2" max="2" width="21.42578125" style="7" customWidth="1"/>
    <col min="3" max="3" width="8.7109375" style="7" customWidth="1"/>
    <col min="4" max="4" width="10.140625" style="7" customWidth="1"/>
    <col min="5" max="5" width="10.42578125" style="7" customWidth="1"/>
    <col min="6" max="6" width="9.7109375" style="7" customWidth="1"/>
    <col min="7" max="7" width="10.7109375" style="7" customWidth="1"/>
    <col min="8" max="8" width="9.7109375" style="7" customWidth="1"/>
    <col min="9" max="9" width="10.85546875" style="7" customWidth="1"/>
    <col min="10" max="10" width="10.7109375" style="7" customWidth="1"/>
    <col min="11" max="11" width="11.42578125" style="7" customWidth="1"/>
    <col min="12" max="15" width="8.7109375" style="7" customWidth="1"/>
    <col min="16" max="16" width="9.85546875" style="7" customWidth="1"/>
    <col min="17" max="17" width="8.7109375" style="7" customWidth="1"/>
    <col min="18" max="18" width="10.140625" style="7" customWidth="1"/>
    <col min="19" max="19" width="8.7109375" style="7" customWidth="1"/>
    <col min="20" max="20" width="11.7109375" style="7" customWidth="1"/>
    <col min="21" max="24" width="8.7109375" style="7" customWidth="1"/>
    <col min="25" max="25" width="9.85546875" style="7" customWidth="1"/>
    <col min="26" max="26" width="8.7109375" style="7" customWidth="1"/>
    <col min="27" max="27" width="10" style="7" customWidth="1"/>
    <col min="28" max="28" width="8.7109375" style="7" customWidth="1"/>
    <col min="29" max="29" width="10.85546875" style="7" customWidth="1"/>
    <col min="30" max="32" width="8.7109375" style="7" customWidth="1"/>
    <col min="33" max="16384" width="9.140625" style="7"/>
  </cols>
  <sheetData>
    <row r="1" spans="2:34" ht="28.5" customHeight="1">
      <c r="B1" s="590" t="s">
        <v>176</v>
      </c>
      <c r="C1" s="586" t="s">
        <v>21</v>
      </c>
      <c r="D1" s="586" t="s">
        <v>132</v>
      </c>
      <c r="E1" s="588" t="s">
        <v>22</v>
      </c>
      <c r="F1" s="582" t="s">
        <v>20</v>
      </c>
      <c r="G1" s="583"/>
      <c r="H1" s="583"/>
      <c r="I1" s="583"/>
      <c r="J1" s="583"/>
      <c r="K1" s="583"/>
      <c r="L1" s="583"/>
      <c r="M1" s="583"/>
      <c r="N1" s="584"/>
      <c r="O1" s="582" t="s">
        <v>78</v>
      </c>
      <c r="P1" s="583"/>
      <c r="Q1" s="583"/>
      <c r="R1" s="583"/>
      <c r="S1" s="583"/>
      <c r="T1" s="583"/>
      <c r="U1" s="583"/>
      <c r="V1" s="583"/>
      <c r="W1" s="584"/>
      <c r="X1" s="582" t="s">
        <v>79</v>
      </c>
      <c r="Y1" s="583"/>
      <c r="Z1" s="583"/>
      <c r="AA1" s="583"/>
      <c r="AB1" s="583"/>
      <c r="AC1" s="583"/>
      <c r="AD1" s="583"/>
      <c r="AE1" s="583"/>
      <c r="AF1" s="584"/>
    </row>
    <row r="2" spans="2:34" ht="45" customHeight="1" thickBot="1">
      <c r="B2" s="591"/>
      <c r="C2" s="587"/>
      <c r="D2" s="587"/>
      <c r="E2" s="589"/>
      <c r="F2" s="77" t="s">
        <v>23</v>
      </c>
      <c r="G2" s="78" t="s">
        <v>63</v>
      </c>
      <c r="H2" s="112" t="s">
        <v>81</v>
      </c>
      <c r="I2" s="78" t="s">
        <v>64</v>
      </c>
      <c r="J2" s="78" t="s">
        <v>26</v>
      </c>
      <c r="K2" s="78" t="s">
        <v>37</v>
      </c>
      <c r="L2" s="78" t="s">
        <v>38</v>
      </c>
      <c r="M2" s="78" t="s">
        <v>19</v>
      </c>
      <c r="N2" s="79" t="s">
        <v>36</v>
      </c>
      <c r="O2" s="160" t="s">
        <v>23</v>
      </c>
      <c r="P2" s="78" t="s">
        <v>63</v>
      </c>
      <c r="Q2" s="112" t="s">
        <v>81</v>
      </c>
      <c r="R2" s="78" t="s">
        <v>64</v>
      </c>
      <c r="S2" s="78" t="s">
        <v>26</v>
      </c>
      <c r="T2" s="78" t="s">
        <v>37</v>
      </c>
      <c r="U2" s="78" t="s">
        <v>38</v>
      </c>
      <c r="V2" s="78" t="s">
        <v>19</v>
      </c>
      <c r="W2" s="79" t="s">
        <v>36</v>
      </c>
      <c r="X2" s="160" t="s">
        <v>23</v>
      </c>
      <c r="Y2" s="78" t="s">
        <v>63</v>
      </c>
      <c r="Z2" s="112" t="s">
        <v>81</v>
      </c>
      <c r="AA2" s="78" t="s">
        <v>64</v>
      </c>
      <c r="AB2" s="78" t="s">
        <v>26</v>
      </c>
      <c r="AC2" s="78" t="s">
        <v>37</v>
      </c>
      <c r="AD2" s="78" t="s">
        <v>38</v>
      </c>
      <c r="AE2" s="78" t="s">
        <v>19</v>
      </c>
      <c r="AF2" s="79" t="s">
        <v>36</v>
      </c>
    </row>
    <row r="3" spans="2:34">
      <c r="B3" s="172" t="s">
        <v>131</v>
      </c>
      <c r="C3" s="58" t="s">
        <v>18</v>
      </c>
      <c r="D3" s="58" t="s">
        <v>18</v>
      </c>
      <c r="E3" s="59" t="s">
        <v>18</v>
      </c>
      <c r="F3" s="294" t="s">
        <v>18</v>
      </c>
      <c r="G3" s="285">
        <v>16440.52</v>
      </c>
      <c r="H3" s="295">
        <f>'1.Metodologia'!$C$31</f>
        <v>0.84</v>
      </c>
      <c r="I3" s="285">
        <f>G3*H3</f>
        <v>13810.0368</v>
      </c>
      <c r="J3" s="285">
        <f>'1.Metodologia'!$C$25</f>
        <v>43.33</v>
      </c>
      <c r="K3" s="285">
        <f>I3*J3</f>
        <v>598388.89454399992</v>
      </c>
      <c r="L3" s="285">
        <f>K3/1000/3.6</f>
        <v>166.2191373733333</v>
      </c>
      <c r="M3" s="295">
        <f>'1.Metodologia'!$D$25</f>
        <v>0.26400000000000001</v>
      </c>
      <c r="N3" s="296">
        <f>L3*M3</f>
        <v>43.881852266559996</v>
      </c>
      <c r="O3" s="159" t="s">
        <v>18</v>
      </c>
      <c r="P3" s="285">
        <v>3023.33</v>
      </c>
      <c r="Q3" s="295">
        <f>'1.Metodologia'!$C$32</f>
        <v>0.755</v>
      </c>
      <c r="R3" s="285">
        <f>P3*Q3</f>
        <v>2282.6141499999999</v>
      </c>
      <c r="S3" s="285">
        <f>'1.Metodologia'!$C$24</f>
        <v>44.8</v>
      </c>
      <c r="T3" s="285">
        <f>R3*S3</f>
        <v>102261.11391999999</v>
      </c>
      <c r="U3" s="285">
        <f>T3/1000/3.6</f>
        <v>28.405864977777775</v>
      </c>
      <c r="V3" s="295">
        <f>'1.Metodologia'!$D$24</f>
        <v>0.247</v>
      </c>
      <c r="W3" s="296">
        <f>U3*V3</f>
        <v>7.0162486495111098</v>
      </c>
      <c r="X3" s="159"/>
      <c r="Y3" s="285">
        <v>1224.27</v>
      </c>
      <c r="Z3" s="295">
        <f>'1.Metodologia'!$C$33</f>
        <v>0.5</v>
      </c>
      <c r="AA3" s="285">
        <f>Y3*Z3</f>
        <v>612.13499999999999</v>
      </c>
      <c r="AB3" s="285">
        <f>'1.Metodologia'!$C$26</f>
        <v>47.31</v>
      </c>
      <c r="AC3" s="285">
        <f>AA3*AB3</f>
        <v>28960.10685</v>
      </c>
      <c r="AD3" s="285">
        <f>AC3/1000/3.6</f>
        <v>8.0444741249999989</v>
      </c>
      <c r="AE3" s="295">
        <f>'1.Metodologia'!$D$26</f>
        <v>0.22500000000000001</v>
      </c>
      <c r="AF3" s="296">
        <f>AD3*AE3</f>
        <v>1.8100066781249997</v>
      </c>
      <c r="AG3" s="185"/>
      <c r="AH3" s="185"/>
    </row>
    <row r="4" spans="2:34" ht="24">
      <c r="B4" s="173" t="s">
        <v>133</v>
      </c>
      <c r="C4" s="48" t="s">
        <v>18</v>
      </c>
      <c r="D4" s="48" t="s">
        <v>18</v>
      </c>
      <c r="E4" s="80">
        <v>411462</v>
      </c>
      <c r="F4" s="297">
        <v>22</v>
      </c>
      <c r="G4" s="298">
        <f t="shared" ref="G4:G5" si="0">E4*F4/100</f>
        <v>90521.64</v>
      </c>
      <c r="H4" s="295">
        <f>'1.Metodologia'!$C$31</f>
        <v>0.84</v>
      </c>
      <c r="I4" s="285">
        <f t="shared" ref="I4:I7" si="1">G4*H4</f>
        <v>76038.177599999995</v>
      </c>
      <c r="J4" s="285">
        <f>'1.Metodologia'!$C$25</f>
        <v>43.33</v>
      </c>
      <c r="K4" s="285">
        <f t="shared" ref="K4:K7" si="2">I4*J4</f>
        <v>3294734.2354079997</v>
      </c>
      <c r="L4" s="285">
        <f t="shared" ref="L4:L7" si="3">K4/1000/3.6</f>
        <v>915.20395427999983</v>
      </c>
      <c r="M4" s="295">
        <f>'1.Metodologia'!$D$25</f>
        <v>0.26400000000000001</v>
      </c>
      <c r="N4" s="296">
        <f t="shared" ref="N4:N7" si="4">L4*M4</f>
        <v>241.61384392991997</v>
      </c>
      <c r="O4" s="56" t="s">
        <v>18</v>
      </c>
      <c r="P4" s="48">
        <v>0</v>
      </c>
      <c r="Q4" s="108">
        <f>'1.Metodologia'!$C$32</f>
        <v>0.755</v>
      </c>
      <c r="R4" s="107">
        <f t="shared" ref="R4:R7" si="5">P4*Q4</f>
        <v>0</v>
      </c>
      <c r="S4" s="107">
        <f>'1.Metodologia'!$C$24</f>
        <v>44.8</v>
      </c>
      <c r="T4" s="107">
        <f t="shared" ref="T4:T7" si="6">R4*S4</f>
        <v>0</v>
      </c>
      <c r="U4" s="107">
        <f t="shared" ref="U4:U7" si="7">T4/1000/3.6</f>
        <v>0</v>
      </c>
      <c r="V4" s="108">
        <f>'1.Metodologia'!$D$24</f>
        <v>0.247</v>
      </c>
      <c r="W4" s="59">
        <f t="shared" ref="W4:W7" si="8">U4*V4</f>
        <v>0</v>
      </c>
      <c r="X4" s="56"/>
      <c r="Y4" s="48">
        <v>0</v>
      </c>
      <c r="Z4" s="108">
        <f>'1.Metodologia'!$C$33</f>
        <v>0.5</v>
      </c>
      <c r="AA4" s="107">
        <f t="shared" ref="AA4:AA7" si="9">Y4*Z4</f>
        <v>0</v>
      </c>
      <c r="AB4" s="107">
        <f>'1.Metodologia'!$C$26</f>
        <v>47.31</v>
      </c>
      <c r="AC4" s="107">
        <f t="shared" ref="AC4:AC7" si="10">AA4*AB4</f>
        <v>0</v>
      </c>
      <c r="AD4" s="107">
        <f t="shared" ref="AD4:AD7" si="11">AC4/1000/3.6</f>
        <v>0</v>
      </c>
      <c r="AE4" s="108">
        <f>'1.Metodologia'!$D$26</f>
        <v>0.22500000000000001</v>
      </c>
      <c r="AF4" s="59">
        <f t="shared" ref="AF4:AF7" si="12">AD4*AE4</f>
        <v>0</v>
      </c>
      <c r="AG4" s="185"/>
      <c r="AH4" s="185"/>
    </row>
    <row r="5" spans="2:34">
      <c r="B5" s="173" t="s">
        <v>150</v>
      </c>
      <c r="C5" s="48"/>
      <c r="D5" s="48"/>
      <c r="E5" s="80">
        <v>45078</v>
      </c>
      <c r="F5" s="297">
        <v>23</v>
      </c>
      <c r="G5" s="298">
        <f t="shared" si="0"/>
        <v>10367.94</v>
      </c>
      <c r="H5" s="295">
        <f>'1.Metodologia'!$C$31</f>
        <v>0.84</v>
      </c>
      <c r="I5" s="285">
        <f t="shared" si="1"/>
        <v>8709.0696000000007</v>
      </c>
      <c r="J5" s="285">
        <f>'1.Metodologia'!$C$25</f>
        <v>43.33</v>
      </c>
      <c r="K5" s="285">
        <f t="shared" si="2"/>
        <v>377363.98576800001</v>
      </c>
      <c r="L5" s="285">
        <f t="shared" si="3"/>
        <v>104.82332938</v>
      </c>
      <c r="M5" s="295">
        <f>'1.Metodologia'!$D$25</f>
        <v>0.26400000000000001</v>
      </c>
      <c r="N5" s="296">
        <f t="shared" si="4"/>
        <v>27.673358956320001</v>
      </c>
      <c r="O5" s="56" t="s">
        <v>18</v>
      </c>
      <c r="P5" s="48">
        <v>0</v>
      </c>
      <c r="Q5" s="108">
        <f>'1.Metodologia'!$C$32</f>
        <v>0.755</v>
      </c>
      <c r="R5" s="107">
        <f t="shared" ref="R5" si="13">P5*Q5</f>
        <v>0</v>
      </c>
      <c r="S5" s="107">
        <f>'1.Metodologia'!$C$24</f>
        <v>44.8</v>
      </c>
      <c r="T5" s="107">
        <f t="shared" ref="T5" si="14">R5*S5</f>
        <v>0</v>
      </c>
      <c r="U5" s="107">
        <f t="shared" ref="U5" si="15">T5/1000/3.6</f>
        <v>0</v>
      </c>
      <c r="V5" s="108">
        <f>'1.Metodologia'!$D$24</f>
        <v>0.247</v>
      </c>
      <c r="W5" s="59">
        <f t="shared" ref="W5" si="16">U5*V5</f>
        <v>0</v>
      </c>
      <c r="X5" s="56"/>
      <c r="Y5" s="48">
        <v>0</v>
      </c>
      <c r="Z5" s="108">
        <f>'1.Metodologia'!$C$33</f>
        <v>0.5</v>
      </c>
      <c r="AA5" s="107">
        <f t="shared" ref="AA5" si="17">Y5*Z5</f>
        <v>0</v>
      </c>
      <c r="AB5" s="107">
        <f>'1.Metodologia'!$C$26</f>
        <v>47.31</v>
      </c>
      <c r="AC5" s="107">
        <f t="shared" ref="AC5" si="18">AA5*AB5</f>
        <v>0</v>
      </c>
      <c r="AD5" s="107">
        <f t="shared" ref="AD5" si="19">AC5/1000/3.6</f>
        <v>0</v>
      </c>
      <c r="AE5" s="108">
        <f>'1.Metodologia'!$D$26</f>
        <v>0.22500000000000001</v>
      </c>
      <c r="AF5" s="59">
        <f t="shared" ref="AF5" si="20">AD5*AE5</f>
        <v>0</v>
      </c>
      <c r="AG5" s="185"/>
      <c r="AH5" s="185"/>
    </row>
    <row r="6" spans="2:34">
      <c r="B6" s="173" t="s">
        <v>139</v>
      </c>
      <c r="C6" s="48" t="s">
        <v>18</v>
      </c>
      <c r="D6" s="48" t="s">
        <v>18</v>
      </c>
      <c r="E6" s="80" t="s">
        <v>18</v>
      </c>
      <c r="F6" s="297"/>
      <c r="G6" s="298">
        <v>4300</v>
      </c>
      <c r="H6" s="295">
        <f>'1.Metodologia'!$C$31</f>
        <v>0.84</v>
      </c>
      <c r="I6" s="285">
        <f t="shared" si="1"/>
        <v>3612</v>
      </c>
      <c r="J6" s="285">
        <f>'1.Metodologia'!$C$25</f>
        <v>43.33</v>
      </c>
      <c r="K6" s="285">
        <f t="shared" si="2"/>
        <v>156507.96</v>
      </c>
      <c r="L6" s="285">
        <f t="shared" si="3"/>
        <v>43.47443333333333</v>
      </c>
      <c r="M6" s="295">
        <f>'1.Metodologia'!$D$25</f>
        <v>0.26400000000000001</v>
      </c>
      <c r="N6" s="296">
        <f t="shared" si="4"/>
        <v>11.477250399999999</v>
      </c>
      <c r="O6" s="56" t="s">
        <v>18</v>
      </c>
      <c r="P6" s="298">
        <v>1100</v>
      </c>
      <c r="Q6" s="295">
        <f>'1.Metodologia'!$C$32</f>
        <v>0.755</v>
      </c>
      <c r="R6" s="285">
        <f t="shared" si="5"/>
        <v>830.5</v>
      </c>
      <c r="S6" s="285">
        <f>'1.Metodologia'!$C$24</f>
        <v>44.8</v>
      </c>
      <c r="T6" s="285">
        <f t="shared" si="6"/>
        <v>37206.399999999994</v>
      </c>
      <c r="U6" s="285">
        <f t="shared" si="7"/>
        <v>10.335111111111109</v>
      </c>
      <c r="V6" s="295">
        <f>'1.Metodologia'!$D$24</f>
        <v>0.247</v>
      </c>
      <c r="W6" s="296">
        <f t="shared" si="8"/>
        <v>2.552772444444444</v>
      </c>
      <c r="X6" s="56"/>
      <c r="Y6" s="48">
        <v>0</v>
      </c>
      <c r="Z6" s="108">
        <f>'1.Metodologia'!$C$33</f>
        <v>0.5</v>
      </c>
      <c r="AA6" s="107">
        <f t="shared" si="9"/>
        <v>0</v>
      </c>
      <c r="AB6" s="107">
        <f>'1.Metodologia'!$C$26</f>
        <v>47.31</v>
      </c>
      <c r="AC6" s="107">
        <f t="shared" si="10"/>
        <v>0</v>
      </c>
      <c r="AD6" s="107">
        <f t="shared" si="11"/>
        <v>0</v>
      </c>
      <c r="AE6" s="108">
        <f>'1.Metodologia'!$D$26</f>
        <v>0.22500000000000001</v>
      </c>
      <c r="AF6" s="59">
        <f t="shared" si="12"/>
        <v>0</v>
      </c>
      <c r="AG6" s="185"/>
      <c r="AH6" s="185"/>
    </row>
    <row r="7" spans="2:34" ht="12.75" thickBot="1">
      <c r="B7" s="173" t="s">
        <v>92</v>
      </c>
      <c r="C7" s="48" t="s">
        <v>18</v>
      </c>
      <c r="D7" s="48" t="s">
        <v>18</v>
      </c>
      <c r="E7" s="80" t="s">
        <v>18</v>
      </c>
      <c r="F7" s="297" t="s">
        <v>18</v>
      </c>
      <c r="G7" s="298">
        <f>J122-SUM(G3:G6)</f>
        <v>10517932.406900739</v>
      </c>
      <c r="H7" s="295">
        <f>'1.Metodologia'!$C$31</f>
        <v>0.84</v>
      </c>
      <c r="I7" s="285">
        <f t="shared" si="1"/>
        <v>8835063.2217966206</v>
      </c>
      <c r="J7" s="285">
        <f>'1.Metodologia'!$C$25</f>
        <v>43.33</v>
      </c>
      <c r="K7" s="285">
        <f t="shared" si="2"/>
        <v>382823289.40044755</v>
      </c>
      <c r="L7" s="285">
        <f t="shared" si="3"/>
        <v>106339.80261123543</v>
      </c>
      <c r="M7" s="295">
        <f>'1.Metodologia'!$D$25</f>
        <v>0.26400000000000001</v>
      </c>
      <c r="N7" s="296">
        <f t="shared" si="4"/>
        <v>28073.707889366153</v>
      </c>
      <c r="O7" s="56" t="s">
        <v>18</v>
      </c>
      <c r="P7" s="298">
        <f>J121-SUM(P3:P6)</f>
        <v>3620859.9978529997</v>
      </c>
      <c r="Q7" s="295">
        <f>'1.Metodologia'!$C$32</f>
        <v>0.755</v>
      </c>
      <c r="R7" s="285">
        <f t="shared" si="5"/>
        <v>2733749.2983790147</v>
      </c>
      <c r="S7" s="285">
        <f>'1.Metodologia'!$C$24</f>
        <v>44.8</v>
      </c>
      <c r="T7" s="285">
        <f t="shared" si="6"/>
        <v>122471968.56737985</v>
      </c>
      <c r="U7" s="285">
        <f t="shared" si="7"/>
        <v>34019.991268716622</v>
      </c>
      <c r="V7" s="295">
        <f>'1.Metodologia'!$D$24</f>
        <v>0.247</v>
      </c>
      <c r="W7" s="296">
        <f t="shared" si="8"/>
        <v>8402.9378433730053</v>
      </c>
      <c r="X7" s="56"/>
      <c r="Y7" s="298">
        <f>J123</f>
        <v>2623974.4127807994</v>
      </c>
      <c r="Z7" s="295">
        <f>'1.Metodologia'!$C$33</f>
        <v>0.5</v>
      </c>
      <c r="AA7" s="285">
        <f t="shared" si="9"/>
        <v>1311987.2063903997</v>
      </c>
      <c r="AB7" s="285">
        <f>'1.Metodologia'!$C$26</f>
        <v>47.31</v>
      </c>
      <c r="AC7" s="285">
        <f t="shared" si="10"/>
        <v>62070114.734329812</v>
      </c>
      <c r="AD7" s="285">
        <f t="shared" si="11"/>
        <v>17241.698537313838</v>
      </c>
      <c r="AE7" s="295">
        <f>'1.Metodologia'!$D$26</f>
        <v>0.22500000000000001</v>
      </c>
      <c r="AF7" s="296">
        <f t="shared" si="12"/>
        <v>3879.3821708956134</v>
      </c>
    </row>
    <row r="8" spans="2:34" ht="12.75" thickBot="1">
      <c r="B8" s="45" t="s">
        <v>61</v>
      </c>
      <c r="C8" s="70"/>
      <c r="D8" s="69"/>
      <c r="E8" s="72"/>
      <c r="F8" s="81"/>
      <c r="G8" s="69">
        <f>SUM(G3:G7)</f>
        <v>10639562.506900739</v>
      </c>
      <c r="H8" s="69"/>
      <c r="I8" s="69">
        <f>SUM(I3:I7)</f>
        <v>8937232.5057966206</v>
      </c>
      <c r="J8" s="70"/>
      <c r="K8" s="71"/>
      <c r="L8" s="69">
        <f>SUM(L3:L7)</f>
        <v>107569.52346560209</v>
      </c>
      <c r="M8" s="71"/>
      <c r="N8" s="72">
        <f>SUM(N3:N7)</f>
        <v>28398.354194918953</v>
      </c>
      <c r="O8" s="81"/>
      <c r="P8" s="69">
        <f>SUM(P3:P7)</f>
        <v>3624983.3278529998</v>
      </c>
      <c r="Q8" s="69"/>
      <c r="R8" s="69">
        <f>SUM(R3:R7)</f>
        <v>2736862.4125290145</v>
      </c>
      <c r="S8" s="70"/>
      <c r="T8" s="71"/>
      <c r="U8" s="69">
        <f>SUM(U3:U7)</f>
        <v>34058.732244805513</v>
      </c>
      <c r="V8" s="71"/>
      <c r="W8" s="72">
        <f>SUM(W3:W7)</f>
        <v>8412.5068644669609</v>
      </c>
      <c r="X8" s="81"/>
      <c r="Y8" s="69">
        <f>SUM(Y3:Y7)</f>
        <v>2625198.6827807995</v>
      </c>
      <c r="Z8" s="69"/>
      <c r="AA8" s="69">
        <f>SUM(AA3:AA7)</f>
        <v>1312599.3413903997</v>
      </c>
      <c r="AB8" s="70"/>
      <c r="AC8" s="71"/>
      <c r="AD8" s="69">
        <f>SUM(AD3:AD7)</f>
        <v>17249.743011438837</v>
      </c>
      <c r="AE8" s="71"/>
      <c r="AF8" s="72">
        <f>SUM(AF3:AF7)</f>
        <v>3881.1921775737383</v>
      </c>
    </row>
    <row r="10" spans="2:34" ht="36">
      <c r="B10" s="270" t="s">
        <v>59</v>
      </c>
      <c r="C10" s="270" t="s">
        <v>60</v>
      </c>
      <c r="D10" s="270" t="s">
        <v>62</v>
      </c>
      <c r="E10" s="271" t="s">
        <v>36</v>
      </c>
      <c r="F10" s="270" t="s">
        <v>62</v>
      </c>
    </row>
    <row r="11" spans="2:34">
      <c r="B11" s="2" t="str">
        <f>F1</f>
        <v>olej napędowy</v>
      </c>
      <c r="C11" s="82">
        <f>L8</f>
        <v>107569.52346560209</v>
      </c>
      <c r="D11" s="83">
        <f>C11/$C$14</f>
        <v>0.67705739203027104</v>
      </c>
      <c r="E11" s="82">
        <f>N8</f>
        <v>28398.354194918953</v>
      </c>
      <c r="F11" s="83">
        <f>E11/$E$14</f>
        <v>0.69788452378031851</v>
      </c>
    </row>
    <row r="12" spans="2:34">
      <c r="B12" s="2" t="str">
        <f>O1</f>
        <v>benzyna</v>
      </c>
      <c r="C12" s="82">
        <f>U8</f>
        <v>34058.732244805513</v>
      </c>
      <c r="D12" s="83">
        <f>C12/$C$14</f>
        <v>0.21437035032417162</v>
      </c>
      <c r="E12" s="82">
        <f>W8</f>
        <v>8412.5068644669609</v>
      </c>
      <c r="F12" s="83">
        <f>E12/$E$14</f>
        <v>0.20673586598048771</v>
      </c>
    </row>
    <row r="13" spans="2:34">
      <c r="B13" s="2" t="str">
        <f>X1</f>
        <v>gaz LPG</v>
      </c>
      <c r="C13" s="82">
        <f>AD8</f>
        <v>17249.743011438837</v>
      </c>
      <c r="D13" s="83">
        <f t="shared" ref="D13" si="21">C13/$C$14</f>
        <v>0.10857225764555732</v>
      </c>
      <c r="E13" s="82">
        <f>AF8</f>
        <v>3881.1921775737383</v>
      </c>
      <c r="F13" s="83">
        <f>E13/$E$14</f>
        <v>9.5379610239193863E-2</v>
      </c>
    </row>
    <row r="14" spans="2:34">
      <c r="B14" s="92" t="s">
        <v>50</v>
      </c>
      <c r="C14" s="93">
        <f>SUM(C11:C13)</f>
        <v>158877.99872184644</v>
      </c>
      <c r="D14" s="94">
        <f>SUM(D11:D13)</f>
        <v>1</v>
      </c>
      <c r="E14" s="93">
        <f>SUM(E11:E13)</f>
        <v>40692.053236959648</v>
      </c>
      <c r="F14" s="94">
        <f>SUM(F11:F13)</f>
        <v>1.0000000000000002</v>
      </c>
    </row>
    <row r="35" spans="2:6" ht="12.75" thickBot="1"/>
    <row r="36" spans="2:6" ht="36">
      <c r="B36" s="299" t="s">
        <v>65</v>
      </c>
      <c r="C36" s="300" t="s">
        <v>60</v>
      </c>
      <c r="D36" s="300" t="s">
        <v>62</v>
      </c>
      <c r="E36" s="301" t="s">
        <v>36</v>
      </c>
      <c r="F36" s="302" t="s">
        <v>62</v>
      </c>
    </row>
    <row r="37" spans="2:6">
      <c r="B37" s="84" t="str">
        <f>B3</f>
        <v>pojazdy gminne</v>
      </c>
      <c r="C37" s="85">
        <f>L3+U3+AD3</f>
        <v>202.66947647611107</v>
      </c>
      <c r="D37" s="86">
        <f t="shared" ref="D37:D42" si="22">C37/$C$42</f>
        <v>1.2756295906705874E-3</v>
      </c>
      <c r="E37" s="85">
        <f>N3+W3+AF3</f>
        <v>52.708107594196107</v>
      </c>
      <c r="F37" s="87">
        <f t="shared" ref="F37:F42" si="23">E37/$E$42</f>
        <v>1.2952924072733333E-3</v>
      </c>
    </row>
    <row r="38" spans="2:6" ht="24">
      <c r="B38" s="84" t="str">
        <f>B4</f>
        <v>PKS w Skierniewicach Sp. z o.o.</v>
      </c>
      <c r="C38" s="85">
        <f>L4</f>
        <v>915.20395427999983</v>
      </c>
      <c r="D38" s="86">
        <f t="shared" si="22"/>
        <v>5.7604197034372339E-3</v>
      </c>
      <c r="E38" s="85">
        <f>N4</f>
        <v>241.61384392991997</v>
      </c>
      <c r="F38" s="87">
        <f t="shared" si="23"/>
        <v>5.9376174144603663E-3</v>
      </c>
    </row>
    <row r="39" spans="2:6">
      <c r="B39" s="84" t="str">
        <f>B5</f>
        <v>PKS Grójec Sp. z o.o.</v>
      </c>
      <c r="C39" s="85">
        <f>L5</f>
        <v>104.82332938</v>
      </c>
      <c r="D39" s="86">
        <f t="shared" si="22"/>
        <v>6.5977246832972806E-4</v>
      </c>
      <c r="E39" s="85">
        <f>N5</f>
        <v>27.673358956320001</v>
      </c>
      <c r="F39" s="87">
        <f t="shared" si="23"/>
        <v>6.8006789421932946E-4</v>
      </c>
    </row>
    <row r="40" spans="2:6">
      <c r="B40" s="84" t="str">
        <f>B6</f>
        <v>gospodarka wod-kan</v>
      </c>
      <c r="C40" s="85">
        <f>L6+U6</f>
        <v>53.809544444444441</v>
      </c>
      <c r="D40" s="86">
        <f t="shared" si="22"/>
        <v>3.3868468181457139E-4</v>
      </c>
      <c r="E40" s="85">
        <f>N6+W6</f>
        <v>14.030022844444442</v>
      </c>
      <c r="F40" s="87">
        <f t="shared" si="23"/>
        <v>3.4478532608674795E-4</v>
      </c>
    </row>
    <row r="41" spans="2:6">
      <c r="B41" s="84" t="str">
        <f>B7</f>
        <v>transport prywatny</v>
      </c>
      <c r="C41" s="85">
        <f>L7+U7+AD7</f>
        <v>157601.49241726589</v>
      </c>
      <c r="D41" s="86">
        <f t="shared" si="22"/>
        <v>0.99196549355574792</v>
      </c>
      <c r="E41" s="85">
        <f>N7+W7+AF7</f>
        <v>40356.027903634771</v>
      </c>
      <c r="F41" s="87">
        <f t="shared" si="23"/>
        <v>0.99174223695796015</v>
      </c>
    </row>
    <row r="42" spans="2:6" ht="12.75" thickBot="1">
      <c r="B42" s="88" t="s">
        <v>50</v>
      </c>
      <c r="C42" s="89">
        <f>SUM(C37:C41)</f>
        <v>158877.99872184644</v>
      </c>
      <c r="D42" s="90">
        <f t="shared" si="22"/>
        <v>1</v>
      </c>
      <c r="E42" s="89">
        <f>SUM(E37:E41)</f>
        <v>40692.053236959655</v>
      </c>
      <c r="F42" s="91">
        <f t="shared" si="23"/>
        <v>1</v>
      </c>
    </row>
    <row r="65" spans="2:11" ht="15">
      <c r="B65" s="278" t="s">
        <v>192</v>
      </c>
    </row>
    <row r="66" spans="2:11" ht="36">
      <c r="B66" s="270" t="s">
        <v>193</v>
      </c>
      <c r="C66" s="270" t="s">
        <v>39</v>
      </c>
      <c r="D66" s="270" t="s">
        <v>134</v>
      </c>
      <c r="E66" s="303" t="s">
        <v>135</v>
      </c>
    </row>
    <row r="67" spans="2:11">
      <c r="B67" s="155">
        <v>921305</v>
      </c>
      <c r="C67" s="184">
        <v>680</v>
      </c>
      <c r="D67" s="154">
        <v>16.5</v>
      </c>
      <c r="E67" s="156">
        <f>C67*D67</f>
        <v>11220</v>
      </c>
    </row>
    <row r="68" spans="2:11">
      <c r="B68" s="155">
        <v>921307</v>
      </c>
      <c r="C68" s="184">
        <v>860</v>
      </c>
      <c r="D68" s="154">
        <v>18.100000000000001</v>
      </c>
      <c r="E68" s="156">
        <f t="shared" ref="E68:E81" si="24">C68*D68</f>
        <v>15566.000000000002</v>
      </c>
    </row>
    <row r="69" spans="2:11">
      <c r="B69" s="585">
        <v>921336</v>
      </c>
      <c r="C69" s="184">
        <v>1280</v>
      </c>
      <c r="D69" s="154">
        <v>14</v>
      </c>
      <c r="E69" s="156">
        <f t="shared" si="24"/>
        <v>17920</v>
      </c>
    </row>
    <row r="70" spans="2:11">
      <c r="B70" s="585"/>
      <c r="C70" s="184">
        <v>360</v>
      </c>
      <c r="D70" s="154">
        <v>46</v>
      </c>
      <c r="E70" s="156">
        <f t="shared" si="24"/>
        <v>16560</v>
      </c>
    </row>
    <row r="71" spans="2:11">
      <c r="B71" s="154">
        <v>921352</v>
      </c>
      <c r="C71" s="184">
        <v>2430</v>
      </c>
      <c r="D71" s="154">
        <v>11</v>
      </c>
      <c r="E71" s="156">
        <f t="shared" si="24"/>
        <v>26730</v>
      </c>
    </row>
    <row r="72" spans="2:11">
      <c r="B72" s="154">
        <v>921481</v>
      </c>
      <c r="C72" s="184">
        <v>900</v>
      </c>
      <c r="D72" s="154">
        <v>67</v>
      </c>
      <c r="E72" s="156">
        <f t="shared" si="24"/>
        <v>60300</v>
      </c>
    </row>
    <row r="73" spans="2:11">
      <c r="B73" s="154">
        <v>921482</v>
      </c>
      <c r="C73" s="184">
        <v>900</v>
      </c>
      <c r="D73" s="154">
        <v>67</v>
      </c>
      <c r="E73" s="156">
        <f t="shared" si="24"/>
        <v>60300</v>
      </c>
    </row>
    <row r="74" spans="2:11">
      <c r="B74" s="154">
        <v>921483</v>
      </c>
      <c r="C74" s="184">
        <v>900</v>
      </c>
      <c r="D74" s="154">
        <v>77</v>
      </c>
      <c r="E74" s="156">
        <f t="shared" si="24"/>
        <v>69300</v>
      </c>
    </row>
    <row r="75" spans="2:11">
      <c r="B75" s="154">
        <v>921484</v>
      </c>
      <c r="C75" s="184">
        <v>900</v>
      </c>
      <c r="D75" s="154">
        <v>44</v>
      </c>
      <c r="E75" s="156">
        <f t="shared" si="24"/>
        <v>39600</v>
      </c>
    </row>
    <row r="76" spans="2:11">
      <c r="B76" s="154">
        <v>921485</v>
      </c>
      <c r="C76" s="184">
        <v>720</v>
      </c>
      <c r="D76" s="154">
        <v>56</v>
      </c>
      <c r="E76" s="156">
        <f t="shared" si="24"/>
        <v>40320</v>
      </c>
      <c r="K76" s="8"/>
    </row>
    <row r="77" spans="2:11">
      <c r="B77" s="154">
        <v>921352</v>
      </c>
      <c r="C77" s="184">
        <v>2430</v>
      </c>
      <c r="D77" s="154">
        <v>11</v>
      </c>
      <c r="E77" s="156">
        <f t="shared" si="24"/>
        <v>26730</v>
      </c>
    </row>
    <row r="78" spans="2:11">
      <c r="B78" s="585">
        <v>921144</v>
      </c>
      <c r="C78" s="184">
        <v>255</v>
      </c>
      <c r="D78" s="154">
        <v>19</v>
      </c>
      <c r="E78" s="156">
        <f t="shared" si="24"/>
        <v>4845</v>
      </c>
    </row>
    <row r="79" spans="2:11">
      <c r="B79" s="585"/>
      <c r="C79" s="184">
        <v>972</v>
      </c>
      <c r="D79" s="154">
        <v>13</v>
      </c>
      <c r="E79" s="156">
        <f t="shared" si="24"/>
        <v>12636</v>
      </c>
    </row>
    <row r="80" spans="2:11">
      <c r="B80" s="585"/>
      <c r="C80" s="184">
        <v>255</v>
      </c>
      <c r="D80" s="154">
        <v>6</v>
      </c>
      <c r="E80" s="156">
        <f t="shared" si="24"/>
        <v>1530</v>
      </c>
    </row>
    <row r="81" spans="2:9">
      <c r="B81" s="154">
        <v>921127</v>
      </c>
      <c r="C81" s="184">
        <v>510</v>
      </c>
      <c r="D81" s="154">
        <v>15.5</v>
      </c>
      <c r="E81" s="156">
        <f t="shared" si="24"/>
        <v>7905</v>
      </c>
    </row>
    <row r="82" spans="2:9">
      <c r="B82" s="95" t="s">
        <v>50</v>
      </c>
      <c r="C82" s="95"/>
      <c r="D82" s="95"/>
      <c r="E82" s="96">
        <f>SUM(E67:E81)</f>
        <v>411462</v>
      </c>
    </row>
    <row r="84" spans="2:9" ht="15">
      <c r="B84" s="278" t="s">
        <v>194</v>
      </c>
    </row>
    <row r="85" spans="2:9" ht="36">
      <c r="B85" s="270" t="s">
        <v>146</v>
      </c>
      <c r="C85" s="270" t="s">
        <v>39</v>
      </c>
      <c r="D85" s="270" t="s">
        <v>134</v>
      </c>
      <c r="E85" s="303" t="s">
        <v>135</v>
      </c>
    </row>
    <row r="86" spans="2:9">
      <c r="B86" s="155" t="s">
        <v>147</v>
      </c>
      <c r="C86" s="184">
        <v>1113</v>
      </c>
      <c r="D86" s="154">
        <v>8</v>
      </c>
      <c r="E86" s="156">
        <f>C86*D86</f>
        <v>8904</v>
      </c>
    </row>
    <row r="87" spans="2:9">
      <c r="B87" s="155" t="s">
        <v>148</v>
      </c>
      <c r="C87" s="184">
        <v>1687</v>
      </c>
      <c r="D87" s="154">
        <v>18</v>
      </c>
      <c r="E87" s="156">
        <f>C87*D87</f>
        <v>30366</v>
      </c>
    </row>
    <row r="88" spans="2:9">
      <c r="B88" s="155" t="s">
        <v>149</v>
      </c>
      <c r="C88" s="184">
        <v>726</v>
      </c>
      <c r="D88" s="154">
        <v>8</v>
      </c>
      <c r="E88" s="156">
        <f t="shared" ref="E88" si="25">C88*D88</f>
        <v>5808</v>
      </c>
    </row>
    <row r="89" spans="2:9">
      <c r="B89" s="95" t="s">
        <v>50</v>
      </c>
      <c r="C89" s="95"/>
      <c r="D89" s="95"/>
      <c r="E89" s="96">
        <f>SUM(E86:E88)</f>
        <v>45078</v>
      </c>
    </row>
    <row r="91" spans="2:9" ht="15">
      <c r="B91" s="278" t="s">
        <v>191</v>
      </c>
    </row>
    <row r="92" spans="2:9">
      <c r="B92" s="7" t="s">
        <v>195</v>
      </c>
    </row>
    <row r="93" spans="2:9" ht="22.5">
      <c r="B93" s="193" t="s">
        <v>71</v>
      </c>
      <c r="C93" s="304" t="s">
        <v>76</v>
      </c>
      <c r="D93" s="305" t="s">
        <v>51</v>
      </c>
      <c r="E93" s="305" t="s">
        <v>70</v>
      </c>
      <c r="F93" s="305" t="s">
        <v>67</v>
      </c>
      <c r="G93" s="305" t="s">
        <v>68</v>
      </c>
      <c r="H93" s="306" t="s">
        <v>69</v>
      </c>
      <c r="I93" s="305" t="s">
        <v>52</v>
      </c>
    </row>
    <row r="94" spans="2:9" ht="12.75">
      <c r="B94" s="186" t="s">
        <v>72</v>
      </c>
      <c r="C94" s="187">
        <v>5.3</v>
      </c>
      <c r="D94" s="188">
        <v>64</v>
      </c>
      <c r="E94" s="186">
        <v>19103</v>
      </c>
      <c r="F94" s="186">
        <v>3358</v>
      </c>
      <c r="G94" s="186">
        <v>1797</v>
      </c>
      <c r="H94" s="186">
        <v>7348</v>
      </c>
      <c r="I94" s="186">
        <v>222</v>
      </c>
    </row>
    <row r="95" spans="2:9" ht="12.75">
      <c r="B95" s="186" t="s">
        <v>73</v>
      </c>
      <c r="C95" s="187">
        <v>18</v>
      </c>
      <c r="D95" s="188">
        <v>14</v>
      </c>
      <c r="E95" s="188">
        <v>2137</v>
      </c>
      <c r="F95" s="188">
        <v>446</v>
      </c>
      <c r="G95" s="188">
        <v>202</v>
      </c>
      <c r="H95" s="188">
        <v>197</v>
      </c>
      <c r="I95" s="188">
        <v>24</v>
      </c>
    </row>
    <row r="96" spans="2:9" ht="12.75">
      <c r="B96" s="186" t="s">
        <v>74</v>
      </c>
      <c r="C96" s="187">
        <v>94</v>
      </c>
      <c r="D96" s="188">
        <f>0.35*D95</f>
        <v>4.8999999999999995</v>
      </c>
      <c r="E96" s="188">
        <f t="shared" ref="E96:I97" si="26">0.35*E95</f>
        <v>747.94999999999993</v>
      </c>
      <c r="F96" s="188">
        <f t="shared" si="26"/>
        <v>156.1</v>
      </c>
      <c r="G96" s="188">
        <f t="shared" si="26"/>
        <v>70.699999999999989</v>
      </c>
      <c r="H96" s="188">
        <f t="shared" si="26"/>
        <v>68.949999999999989</v>
      </c>
      <c r="I96" s="188">
        <f t="shared" si="26"/>
        <v>8.3999999999999986</v>
      </c>
    </row>
    <row r="97" spans="2:9" ht="12.75">
      <c r="B97" s="186" t="s">
        <v>75</v>
      </c>
      <c r="C97" s="187">
        <v>114.2</v>
      </c>
      <c r="D97" s="188">
        <f>0.35*D96</f>
        <v>1.7149999999999996</v>
      </c>
      <c r="E97" s="188">
        <f t="shared" si="26"/>
        <v>261.78249999999997</v>
      </c>
      <c r="F97" s="188">
        <f t="shared" si="26"/>
        <v>54.634999999999998</v>
      </c>
      <c r="G97" s="188">
        <f t="shared" si="26"/>
        <v>24.744999999999994</v>
      </c>
      <c r="H97" s="188">
        <f t="shared" si="26"/>
        <v>24.132499999999993</v>
      </c>
      <c r="I97" s="188">
        <f t="shared" si="26"/>
        <v>2.9399999999999995</v>
      </c>
    </row>
    <row r="98" spans="2:9">
      <c r="B98" s="189"/>
      <c r="C98" s="189"/>
      <c r="D98" s="189"/>
      <c r="E98" s="189"/>
      <c r="F98" s="189"/>
      <c r="G98" s="189"/>
      <c r="H98" s="189"/>
      <c r="I98" s="189"/>
    </row>
    <row r="99" spans="2:9" ht="12.75">
      <c r="B99" s="190" t="s">
        <v>77</v>
      </c>
      <c r="C99" s="190"/>
      <c r="D99" s="190"/>
      <c r="E99" s="190"/>
      <c r="F99" s="190"/>
      <c r="G99" s="190"/>
      <c r="H99" s="190"/>
      <c r="I99" s="190"/>
    </row>
    <row r="100" spans="2:9" ht="22.5">
      <c r="B100" s="193" t="s">
        <v>71</v>
      </c>
      <c r="C100" s="304" t="s">
        <v>76</v>
      </c>
      <c r="D100" s="305" t="s">
        <v>51</v>
      </c>
      <c r="E100" s="305" t="s">
        <v>70</v>
      </c>
      <c r="F100" s="305" t="s">
        <v>67</v>
      </c>
      <c r="G100" s="305" t="s">
        <v>68</v>
      </c>
      <c r="H100" s="306" t="s">
        <v>69</v>
      </c>
      <c r="I100" s="305" t="s">
        <v>52</v>
      </c>
    </row>
    <row r="101" spans="2:9" ht="12.75">
      <c r="B101" s="186" t="s">
        <v>72</v>
      </c>
      <c r="C101" s="191">
        <v>5.3</v>
      </c>
      <c r="D101" s="192">
        <f>$C$101*D94*365</f>
        <v>123808</v>
      </c>
      <c r="E101" s="192">
        <f t="shared" ref="E101:I101" si="27">$C$101*E94*365</f>
        <v>36954753.5</v>
      </c>
      <c r="F101" s="192">
        <f t="shared" si="27"/>
        <v>6496050.9999999991</v>
      </c>
      <c r="G101" s="192">
        <f t="shared" si="27"/>
        <v>3476296.5</v>
      </c>
      <c r="H101" s="192">
        <f t="shared" si="27"/>
        <v>14214706</v>
      </c>
      <c r="I101" s="192">
        <f t="shared" si="27"/>
        <v>429458.99999999994</v>
      </c>
    </row>
    <row r="102" spans="2:9" ht="12.75">
      <c r="B102" s="186" t="s">
        <v>73</v>
      </c>
      <c r="C102" s="191">
        <v>18</v>
      </c>
      <c r="D102" s="192">
        <f>$C$102*D95*365</f>
        <v>91980</v>
      </c>
      <c r="E102" s="192">
        <f t="shared" ref="E102:I102" si="28">$C$102*E95*365</f>
        <v>14040090</v>
      </c>
      <c r="F102" s="192">
        <f t="shared" si="28"/>
        <v>2930220</v>
      </c>
      <c r="G102" s="192">
        <f t="shared" si="28"/>
        <v>1327140</v>
      </c>
      <c r="H102" s="192">
        <f t="shared" si="28"/>
        <v>1294290</v>
      </c>
      <c r="I102" s="192">
        <f t="shared" si="28"/>
        <v>157680</v>
      </c>
    </row>
    <row r="103" spans="2:9" ht="12.75">
      <c r="B103" s="186" t="s">
        <v>74</v>
      </c>
      <c r="C103" s="191">
        <v>94</v>
      </c>
      <c r="D103" s="192">
        <f>$C$103*D96*365</f>
        <v>168119</v>
      </c>
      <c r="E103" s="192">
        <f t="shared" ref="E103:I103" si="29">$C$103*E96*365</f>
        <v>25662164.499999996</v>
      </c>
      <c r="F103" s="192">
        <f t="shared" si="29"/>
        <v>5355791</v>
      </c>
      <c r="G103" s="192">
        <f t="shared" si="29"/>
        <v>2425716.9999999995</v>
      </c>
      <c r="H103" s="192">
        <f t="shared" si="29"/>
        <v>2365674.4999999995</v>
      </c>
      <c r="I103" s="192">
        <f t="shared" si="29"/>
        <v>288203.99999999994</v>
      </c>
    </row>
    <row r="104" spans="2:9" ht="12.75">
      <c r="B104" s="186" t="s">
        <v>75</v>
      </c>
      <c r="C104" s="191">
        <v>114.2</v>
      </c>
      <c r="D104" s="192">
        <f>$C$104*D97*365</f>
        <v>71486.344999999987</v>
      </c>
      <c r="E104" s="192">
        <f t="shared" ref="E104:I104" si="30">$C$104*E97*365</f>
        <v>10911879.947499998</v>
      </c>
      <c r="F104" s="192">
        <f t="shared" si="30"/>
        <v>2277350.7050000001</v>
      </c>
      <c r="G104" s="192">
        <f t="shared" si="30"/>
        <v>1031445.8349999998</v>
      </c>
      <c r="H104" s="192">
        <f t="shared" si="30"/>
        <v>1005914.9974999997</v>
      </c>
      <c r="I104" s="192">
        <f t="shared" si="30"/>
        <v>122548.01999999997</v>
      </c>
    </row>
    <row r="105" spans="2:9" ht="12.75">
      <c r="B105" s="193" t="s">
        <v>50</v>
      </c>
      <c r="C105" s="95" t="s">
        <v>18</v>
      </c>
      <c r="D105" s="194">
        <f>SUM(D101:D104)</f>
        <v>455393.34499999997</v>
      </c>
      <c r="E105" s="194">
        <f t="shared" ref="E105:I105" si="31">SUM(E101:E104)</f>
        <v>87568887.94749999</v>
      </c>
      <c r="F105" s="194">
        <f t="shared" si="31"/>
        <v>17059412.704999998</v>
      </c>
      <c r="G105" s="194">
        <f t="shared" si="31"/>
        <v>8260599.335</v>
      </c>
      <c r="H105" s="194">
        <f t="shared" si="31"/>
        <v>18880585.497499999</v>
      </c>
      <c r="I105" s="194">
        <f t="shared" si="31"/>
        <v>997891.02</v>
      </c>
    </row>
    <row r="107" spans="2:9" ht="12.75">
      <c r="B107" s="37" t="s">
        <v>196</v>
      </c>
      <c r="C107" s="197"/>
      <c r="D107" s="37"/>
      <c r="E107" s="37"/>
      <c r="F107" s="37"/>
      <c r="G107" s="37"/>
      <c r="H107" s="37"/>
      <c r="I107" s="37"/>
    </row>
    <row r="108" spans="2:9" ht="22.5">
      <c r="B108" s="307"/>
      <c r="C108" s="308"/>
      <c r="D108" s="305" t="s">
        <v>51</v>
      </c>
      <c r="E108" s="305" t="s">
        <v>70</v>
      </c>
      <c r="F108" s="305" t="s">
        <v>67</v>
      </c>
      <c r="G108" s="305" t="s">
        <v>68</v>
      </c>
      <c r="H108" s="306" t="s">
        <v>69</v>
      </c>
      <c r="I108" s="305" t="s">
        <v>52</v>
      </c>
    </row>
    <row r="109" spans="2:9" ht="12.75">
      <c r="B109" s="195" t="s">
        <v>78</v>
      </c>
      <c r="C109" s="198"/>
      <c r="D109" s="109">
        <v>0.95</v>
      </c>
      <c r="E109" s="109">
        <v>0.42</v>
      </c>
      <c r="F109" s="109">
        <v>0.13</v>
      </c>
      <c r="G109" s="109">
        <v>0.08</v>
      </c>
      <c r="H109" s="109">
        <v>0.03</v>
      </c>
      <c r="I109" s="109">
        <v>0.03</v>
      </c>
    </row>
    <row r="110" spans="2:9" ht="12.75">
      <c r="B110" s="195" t="s">
        <v>20</v>
      </c>
      <c r="C110" s="198"/>
      <c r="D110" s="109">
        <v>0.04</v>
      </c>
      <c r="E110" s="109">
        <v>0.31</v>
      </c>
      <c r="F110" s="109">
        <v>0.81</v>
      </c>
      <c r="G110" s="109">
        <v>0.9</v>
      </c>
      <c r="H110" s="109">
        <v>0.95</v>
      </c>
      <c r="I110" s="109">
        <v>0.95</v>
      </c>
    </row>
    <row r="111" spans="2:9" ht="12.75">
      <c r="B111" s="195" t="s">
        <v>79</v>
      </c>
      <c r="C111" s="198"/>
      <c r="D111" s="109">
        <v>0.01</v>
      </c>
      <c r="E111" s="109">
        <v>0.27</v>
      </c>
      <c r="F111" s="109">
        <v>0.06</v>
      </c>
      <c r="G111" s="109">
        <v>0.02</v>
      </c>
      <c r="H111" s="109">
        <v>0.02</v>
      </c>
      <c r="I111" s="109">
        <v>0.02</v>
      </c>
    </row>
    <row r="113" spans="2:10" ht="12.75">
      <c r="B113" s="37" t="s">
        <v>197</v>
      </c>
      <c r="C113" s="197"/>
      <c r="D113" s="37"/>
      <c r="E113" s="37"/>
      <c r="F113" s="37"/>
      <c r="G113" s="37"/>
      <c r="H113" s="37"/>
      <c r="I113" s="37"/>
    </row>
    <row r="114" spans="2:10" ht="22.5">
      <c r="B114" s="307"/>
      <c r="C114" s="309"/>
      <c r="D114" s="305" t="s">
        <v>51</v>
      </c>
      <c r="E114" s="305" t="s">
        <v>70</v>
      </c>
      <c r="F114" s="305" t="s">
        <v>67</v>
      </c>
      <c r="G114" s="305" t="s">
        <v>68</v>
      </c>
      <c r="H114" s="306" t="s">
        <v>69</v>
      </c>
      <c r="I114" s="305" t="s">
        <v>52</v>
      </c>
    </row>
    <row r="115" spans="2:10" ht="12.75">
      <c r="B115" s="195" t="s">
        <v>78</v>
      </c>
      <c r="C115" s="199"/>
      <c r="D115" s="110">
        <v>10</v>
      </c>
      <c r="E115" s="110">
        <v>8</v>
      </c>
      <c r="F115" s="110">
        <v>15</v>
      </c>
      <c r="G115" s="110">
        <v>23</v>
      </c>
      <c r="H115" s="110">
        <v>26</v>
      </c>
      <c r="I115" s="110">
        <v>25</v>
      </c>
    </row>
    <row r="116" spans="2:10" ht="12.75">
      <c r="B116" s="195" t="s">
        <v>20</v>
      </c>
      <c r="C116" s="199"/>
      <c r="D116" s="110">
        <v>9.8000000000000007</v>
      </c>
      <c r="E116" s="110">
        <v>7.84</v>
      </c>
      <c r="F116" s="110">
        <v>14.7</v>
      </c>
      <c r="G116" s="110">
        <v>22.54</v>
      </c>
      <c r="H116" s="110">
        <v>25.48</v>
      </c>
      <c r="I116" s="110">
        <v>24.5</v>
      </c>
    </row>
    <row r="117" spans="2:10" ht="12.75">
      <c r="B117" s="195" t="s">
        <v>79</v>
      </c>
      <c r="C117" s="199"/>
      <c r="D117" s="110">
        <v>12</v>
      </c>
      <c r="E117" s="110">
        <v>9.6</v>
      </c>
      <c r="F117" s="110">
        <v>18</v>
      </c>
      <c r="G117" s="110">
        <v>27.599999999999998</v>
      </c>
      <c r="H117" s="110">
        <v>31.2</v>
      </c>
      <c r="I117" s="110">
        <v>30</v>
      </c>
    </row>
    <row r="119" spans="2:10" ht="12.75">
      <c r="B119" s="37" t="s">
        <v>80</v>
      </c>
      <c r="C119" s="197"/>
      <c r="D119" s="37"/>
      <c r="E119" s="37"/>
      <c r="F119" s="37"/>
      <c r="G119" s="37"/>
      <c r="H119" s="37"/>
      <c r="I119" s="37"/>
      <c r="J119" s="37"/>
    </row>
    <row r="120" spans="2:10" ht="22.5">
      <c r="B120" s="307"/>
      <c r="C120" s="310"/>
      <c r="D120" s="305" t="s">
        <v>51</v>
      </c>
      <c r="E120" s="305" t="s">
        <v>70</v>
      </c>
      <c r="F120" s="305" t="s">
        <v>67</v>
      </c>
      <c r="G120" s="305" t="s">
        <v>68</v>
      </c>
      <c r="H120" s="306" t="s">
        <v>69</v>
      </c>
      <c r="I120" s="305" t="s">
        <v>52</v>
      </c>
      <c r="J120" s="305" t="s">
        <v>50</v>
      </c>
    </row>
    <row r="121" spans="2:10" ht="12.75">
      <c r="B121" s="195" t="s">
        <v>78</v>
      </c>
      <c r="C121" s="199"/>
      <c r="D121" s="196">
        <f>$D$105*D109*D115/100</f>
        <v>43262.367774999999</v>
      </c>
      <c r="E121" s="196">
        <f>$E$105*E109*E115/100</f>
        <v>2942314.6350359996</v>
      </c>
      <c r="F121" s="196">
        <f>$F$105*F109*F115/100</f>
        <v>332658.54774750001</v>
      </c>
      <c r="G121" s="196">
        <f>$G$105*G109*G115/100</f>
        <v>151995.027764</v>
      </c>
      <c r="H121" s="196">
        <f>$H$105*H109*H115/100</f>
        <v>147268.56688049997</v>
      </c>
      <c r="I121" s="196">
        <f>$I$105*I109*I115/100</f>
        <v>7484.1826499999997</v>
      </c>
      <c r="J121" s="196">
        <f t="shared" ref="J121:J123" si="32">SUM(D121:I121)</f>
        <v>3624983.3278529998</v>
      </c>
    </row>
    <row r="122" spans="2:10" ht="12.75">
      <c r="B122" s="195" t="s">
        <v>20</v>
      </c>
      <c r="C122" s="199"/>
      <c r="D122" s="196">
        <f>$D$105*D110*D116/100</f>
        <v>1785.1419123999999</v>
      </c>
      <c r="E122" s="196">
        <f>$E$105*E110*E116/100</f>
        <v>2128274.2526760395</v>
      </c>
      <c r="F122" s="196">
        <f>$F$105*F110*F116/100</f>
        <v>2031264.2707843501</v>
      </c>
      <c r="G122" s="196">
        <f>$G$105*G110*G116/100</f>
        <v>1675745.1810981</v>
      </c>
      <c r="H122" s="196">
        <f>$H$105*H110*H116/100</f>
        <v>4570234.52552485</v>
      </c>
      <c r="I122" s="196">
        <f>$I$105*I110*I116/100</f>
        <v>232259.13490499998</v>
      </c>
      <c r="J122" s="196">
        <f t="shared" si="32"/>
        <v>10639562.506900739</v>
      </c>
    </row>
    <row r="123" spans="2:10" ht="12.75">
      <c r="B123" s="195" t="s">
        <v>79</v>
      </c>
      <c r="C123" s="199"/>
      <c r="D123" s="196">
        <f>$D$105*D111*D117/100</f>
        <v>546.47201399999994</v>
      </c>
      <c r="E123" s="196">
        <f>$E$105*E111*E117/100</f>
        <v>2269785.5755991996</v>
      </c>
      <c r="F123" s="196">
        <f>$F$105*F111*F117/100</f>
        <v>184241.65721399998</v>
      </c>
      <c r="G123" s="196">
        <f>$G$105*G111*G117/100</f>
        <v>45598.508329199998</v>
      </c>
      <c r="H123" s="196">
        <f>$H$105*H111*H117/100</f>
        <v>117814.85350439999</v>
      </c>
      <c r="I123" s="196">
        <f>$I$105*I111*I117/100</f>
        <v>5987.3461199999992</v>
      </c>
      <c r="J123" s="196">
        <f t="shared" si="32"/>
        <v>2623974.4127807994</v>
      </c>
    </row>
  </sheetData>
  <mergeCells count="9">
    <mergeCell ref="O1:W1"/>
    <mergeCell ref="X1:AF1"/>
    <mergeCell ref="B69:B70"/>
    <mergeCell ref="B78:B80"/>
    <mergeCell ref="F1:N1"/>
    <mergeCell ref="C1:C2"/>
    <mergeCell ref="D1:D2"/>
    <mergeCell ref="E1:E2"/>
    <mergeCell ref="B1:B2"/>
  </mergeCells>
  <pageMargins left="0.7" right="0.7" top="0.75" bottom="0.75" header="0.3" footer="0.3"/>
  <pageSetup paperSize="9" scale="2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"/>
  <sheetViews>
    <sheetView view="pageBreakPreview" zoomScaleSheetLayoutView="100" workbookViewId="0">
      <selection sqref="A1:A2"/>
    </sheetView>
  </sheetViews>
  <sheetFormatPr defaultRowHeight="15"/>
  <cols>
    <col min="1" max="1" width="23.85546875" customWidth="1"/>
    <col min="2" max="2" width="13.140625" customWidth="1"/>
    <col min="3" max="3" width="13.5703125" bestFit="1" customWidth="1"/>
    <col min="4" max="4" width="11.5703125" customWidth="1"/>
    <col min="5" max="8" width="10.7109375" customWidth="1"/>
  </cols>
  <sheetData>
    <row r="1" spans="1:8" ht="15" customHeight="1">
      <c r="A1" s="567" t="s">
        <v>43</v>
      </c>
      <c r="B1" s="592" t="s">
        <v>45</v>
      </c>
      <c r="C1" s="592" t="s">
        <v>46</v>
      </c>
      <c r="D1" s="592" t="s">
        <v>47</v>
      </c>
      <c r="E1" s="563" t="s">
        <v>4</v>
      </c>
      <c r="F1" s="564"/>
      <c r="G1" s="564"/>
      <c r="H1" s="565"/>
    </row>
    <row r="2" spans="1:8" ht="37.5" thickBot="1">
      <c r="A2" s="568"/>
      <c r="B2" s="593"/>
      <c r="C2" s="593"/>
      <c r="D2" s="593"/>
      <c r="E2" s="3" t="s">
        <v>5</v>
      </c>
      <c r="F2" s="11" t="s">
        <v>6</v>
      </c>
      <c r="G2" s="11" t="s">
        <v>7</v>
      </c>
      <c r="H2" s="12" t="s">
        <v>8</v>
      </c>
    </row>
    <row r="3" spans="1:8" ht="15.75" thickBot="1">
      <c r="A3" s="15" t="s">
        <v>44</v>
      </c>
      <c r="B3" s="32">
        <v>149135</v>
      </c>
      <c r="C3" s="32">
        <f>B3/1000</f>
        <v>149.13499999999999</v>
      </c>
      <c r="D3" s="32">
        <v>4000</v>
      </c>
      <c r="E3" s="16">
        <f>C3*D3</f>
        <v>596540</v>
      </c>
      <c r="F3" s="5">
        <f>E3/1000</f>
        <v>596.54</v>
      </c>
      <c r="G3" s="33">
        <f>'1.Metodologia'!D17</f>
        <v>0.83199999999999996</v>
      </c>
      <c r="H3" s="17">
        <f>F3*G3</f>
        <v>496.32127999999994</v>
      </c>
    </row>
    <row r="6" spans="1:8" ht="24">
      <c r="A6" s="270" t="s">
        <v>59</v>
      </c>
      <c r="B6" s="270" t="s">
        <v>60</v>
      </c>
      <c r="C6" s="270" t="s">
        <v>62</v>
      </c>
      <c r="D6" s="271" t="s">
        <v>36</v>
      </c>
      <c r="E6" s="270" t="s">
        <v>62</v>
      </c>
    </row>
    <row r="7" spans="1:8">
      <c r="A7" s="2" t="str">
        <f>E1</f>
        <v>energia elektryczna</v>
      </c>
      <c r="B7" s="40">
        <f>F3</f>
        <v>596.54</v>
      </c>
      <c r="C7" s="47">
        <f>B7/$B$8</f>
        <v>1</v>
      </c>
      <c r="D7" s="40">
        <f>H3</f>
        <v>496.32127999999994</v>
      </c>
      <c r="E7" s="47">
        <f>D7/$D$8</f>
        <v>1</v>
      </c>
    </row>
    <row r="8" spans="1:8">
      <c r="A8" s="95" t="s">
        <v>50</v>
      </c>
      <c r="B8" s="96">
        <f>SUM(B7)</f>
        <v>596.54</v>
      </c>
      <c r="C8" s="97">
        <f>B8/$B$8</f>
        <v>1</v>
      </c>
      <c r="D8" s="96">
        <f>SUM(D7)</f>
        <v>496.32127999999994</v>
      </c>
      <c r="E8" s="97">
        <f>D8/$D$8</f>
        <v>1</v>
      </c>
    </row>
  </sheetData>
  <mergeCells count="5">
    <mergeCell ref="A1:A2"/>
    <mergeCell ref="B1:B2"/>
    <mergeCell ref="C1:C2"/>
    <mergeCell ref="D1:D2"/>
    <mergeCell ref="E1:H1"/>
  </mergeCells>
  <pageMargins left="0.7" right="0.7" top="0.75" bottom="0.75" header="0.3" footer="0.3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"/>
  <sheetViews>
    <sheetView view="pageBreakPreview" zoomScaleSheetLayoutView="100" workbookViewId="0"/>
  </sheetViews>
  <sheetFormatPr defaultRowHeight="15"/>
  <cols>
    <col min="1" max="1" width="4" style="76" customWidth="1"/>
    <col min="2" max="2" width="20.5703125" bestFit="1" customWidth="1"/>
    <col min="3" max="3" width="20" customWidth="1"/>
    <col min="4" max="4" width="9.5703125" customWidth="1"/>
    <col min="5" max="8" width="10.7109375" customWidth="1"/>
  </cols>
  <sheetData>
    <row r="1" spans="2:7">
      <c r="B1" s="1"/>
      <c r="C1" s="1"/>
      <c r="D1" s="4"/>
      <c r="E1" s="4"/>
      <c r="F1" s="6"/>
    </row>
    <row r="2" spans="2:7" ht="24">
      <c r="B2" s="270" t="s">
        <v>59</v>
      </c>
      <c r="C2" s="270" t="s">
        <v>60</v>
      </c>
      <c r="D2" s="270" t="s">
        <v>62</v>
      </c>
      <c r="E2" s="270" t="s">
        <v>19</v>
      </c>
      <c r="F2" s="271" t="s">
        <v>36</v>
      </c>
      <c r="G2" s="270" t="s">
        <v>62</v>
      </c>
    </row>
    <row r="3" spans="2:7">
      <c r="B3" s="2" t="s">
        <v>4</v>
      </c>
      <c r="C3" s="40">
        <v>503.30900000000003</v>
      </c>
      <c r="D3" s="47">
        <f>C3/$C$4</f>
        <v>1</v>
      </c>
      <c r="E3" s="176">
        <f>'1.Metodologia'!$D$17</f>
        <v>0.83199999999999996</v>
      </c>
      <c r="F3" s="40">
        <f>C3*E3</f>
        <v>418.75308799999999</v>
      </c>
      <c r="G3" s="47">
        <f>F3/$F$4</f>
        <v>1</v>
      </c>
    </row>
    <row r="4" spans="2:7">
      <c r="B4" s="95" t="s">
        <v>50</v>
      </c>
      <c r="C4" s="96">
        <f>SUM(C3)</f>
        <v>503.30900000000003</v>
      </c>
      <c r="D4" s="97">
        <f>C4/$C$4</f>
        <v>1</v>
      </c>
      <c r="E4" s="177" t="s">
        <v>18</v>
      </c>
      <c r="F4" s="96">
        <f>SUM(F3)</f>
        <v>418.75308799999999</v>
      </c>
      <c r="G4" s="97">
        <f>F4/$F$4</f>
        <v>1</v>
      </c>
    </row>
  </sheetData>
  <pageMargins left="0.7" right="0.7" top="0.75" bottom="0.75" header="0.3" footer="0.3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34"/>
  <sheetViews>
    <sheetView view="pageBreakPreview" zoomScale="80" zoomScaleNormal="80" zoomScaleSheetLayoutView="80" workbookViewId="0"/>
  </sheetViews>
  <sheetFormatPr defaultRowHeight="15"/>
  <cols>
    <col min="1" max="1" width="4" customWidth="1"/>
    <col min="2" max="2" width="28.140625" customWidth="1"/>
    <col min="3" max="3" width="18.42578125" customWidth="1"/>
    <col min="4" max="5" width="10.7109375" customWidth="1"/>
    <col min="6" max="6" width="10.85546875" bestFit="1" customWidth="1"/>
    <col min="7" max="7" width="10.7109375" customWidth="1"/>
    <col min="8" max="8" width="10.5703125" customWidth="1"/>
    <col min="9" max="45" width="10.7109375" customWidth="1"/>
  </cols>
  <sheetData>
    <row r="1" spans="1:35">
      <c r="B1" s="278" t="s">
        <v>190</v>
      </c>
    </row>
    <row r="2" spans="1:35">
      <c r="B2" s="279" t="s">
        <v>59</v>
      </c>
      <c r="C2" s="579" t="s">
        <v>66</v>
      </c>
      <c r="D2" s="579"/>
      <c r="E2" s="279" t="s">
        <v>83</v>
      </c>
      <c r="F2" s="280" t="s">
        <v>82</v>
      </c>
      <c r="G2" s="215"/>
    </row>
    <row r="3" spans="1:35">
      <c r="B3" s="120" t="s">
        <v>9</v>
      </c>
      <c r="C3" s="580">
        <v>3581.36</v>
      </c>
      <c r="D3" s="581"/>
      <c r="E3" s="119">
        <f>C3/C9</f>
        <v>2.7313797517319337E-2</v>
      </c>
      <c r="F3" s="36">
        <v>1554.3090000000002</v>
      </c>
      <c r="G3" s="217" t="s">
        <v>183</v>
      </c>
      <c r="H3" s="217" t="s">
        <v>187</v>
      </c>
    </row>
    <row r="4" spans="1:35">
      <c r="B4" s="120" t="s">
        <v>10</v>
      </c>
      <c r="C4" s="576">
        <f t="shared" ref="C4:C8" si="0">E4*$C$10</f>
        <v>5139.8679359999996</v>
      </c>
      <c r="D4" s="576"/>
      <c r="E4" s="119">
        <v>3.9199999999999999E-2</v>
      </c>
      <c r="F4" s="215"/>
      <c r="G4" s="215"/>
      <c r="H4" s="215" t="s">
        <v>188</v>
      </c>
    </row>
    <row r="5" spans="1:35">
      <c r="B5" s="120" t="s">
        <v>55</v>
      </c>
      <c r="C5" s="576">
        <f t="shared" si="0"/>
        <v>50703.748235999992</v>
      </c>
      <c r="D5" s="576"/>
      <c r="E5" s="119">
        <v>0.38669999999999999</v>
      </c>
      <c r="F5" s="219"/>
      <c r="G5" s="219"/>
      <c r="H5" s="219" t="s">
        <v>189</v>
      </c>
    </row>
    <row r="6" spans="1:35">
      <c r="B6" s="120" t="s">
        <v>84</v>
      </c>
      <c r="C6" s="576">
        <f t="shared" si="0"/>
        <v>44410.032395999995</v>
      </c>
      <c r="D6" s="576"/>
      <c r="E6" s="119">
        <v>0.3387</v>
      </c>
      <c r="F6" s="219"/>
      <c r="G6" s="219"/>
      <c r="H6" s="219"/>
    </row>
    <row r="7" spans="1:35">
      <c r="B7" s="120" t="s">
        <v>16</v>
      </c>
      <c r="C7" s="576">
        <f t="shared" si="0"/>
        <v>14173.972548</v>
      </c>
      <c r="D7" s="576"/>
      <c r="E7" s="119">
        <v>0.1081</v>
      </c>
      <c r="F7" s="219"/>
      <c r="G7" s="219"/>
      <c r="H7" s="219" t="s">
        <v>207</v>
      </c>
    </row>
    <row r="8" spans="1:35">
      <c r="B8" s="120" t="s">
        <v>56</v>
      </c>
      <c r="C8" s="576">
        <f t="shared" si="0"/>
        <v>13110.098818934159</v>
      </c>
      <c r="D8" s="576"/>
      <c r="E8" s="119">
        <v>9.9986201999999996E-2</v>
      </c>
      <c r="F8" s="219"/>
      <c r="G8" s="219"/>
    </row>
    <row r="9" spans="1:35">
      <c r="B9" s="279" t="s">
        <v>50</v>
      </c>
      <c r="C9" s="578">
        <f>SUM(C3,C4:D8)</f>
        <v>131119.07993493415</v>
      </c>
      <c r="D9" s="578"/>
      <c r="E9" s="281">
        <f>E3+E4+E5+E6+E7+E8</f>
        <v>0.99999999951731933</v>
      </c>
      <c r="F9" s="219"/>
      <c r="G9" s="219"/>
    </row>
    <row r="10" spans="1:35" ht="26.25" hidden="1">
      <c r="B10" s="151" t="s">
        <v>90</v>
      </c>
      <c r="C10" s="577">
        <v>131119.07999999999</v>
      </c>
      <c r="D10" s="577"/>
      <c r="E10" s="241"/>
      <c r="F10" s="216"/>
      <c r="G10" s="216"/>
    </row>
    <row r="12" spans="1:35" ht="15.75" thickBot="1"/>
    <row r="13" spans="1:35" ht="15" customHeight="1">
      <c r="A13" s="563" t="s">
        <v>0</v>
      </c>
      <c r="B13" s="561" t="s">
        <v>25</v>
      </c>
      <c r="C13" s="571" t="s">
        <v>198</v>
      </c>
      <c r="D13" s="573" t="s">
        <v>4</v>
      </c>
      <c r="E13" s="574"/>
      <c r="F13" s="575"/>
      <c r="G13" s="566" t="s">
        <v>9</v>
      </c>
      <c r="H13" s="564"/>
      <c r="I13" s="564"/>
      <c r="J13" s="565"/>
      <c r="K13" s="554" t="s">
        <v>10</v>
      </c>
      <c r="L13" s="555"/>
      <c r="M13" s="555"/>
      <c r="N13" s="555"/>
      <c r="O13" s="556"/>
      <c r="P13" s="554" t="s">
        <v>55</v>
      </c>
      <c r="Q13" s="555"/>
      <c r="R13" s="555"/>
      <c r="S13" s="555"/>
      <c r="T13" s="556"/>
      <c r="U13" s="554" t="s">
        <v>84</v>
      </c>
      <c r="V13" s="555"/>
      <c r="W13" s="555"/>
      <c r="X13" s="555"/>
      <c r="Y13" s="556"/>
      <c r="Z13" s="554" t="s">
        <v>16</v>
      </c>
      <c r="AA13" s="555"/>
      <c r="AB13" s="555"/>
      <c r="AC13" s="555"/>
      <c r="AD13" s="556"/>
      <c r="AE13" s="554" t="s">
        <v>56</v>
      </c>
      <c r="AF13" s="555"/>
      <c r="AG13" s="555"/>
      <c r="AH13" s="555"/>
      <c r="AI13" s="556"/>
    </row>
    <row r="14" spans="1:35" ht="61.5" thickBot="1">
      <c r="A14" s="569"/>
      <c r="B14" s="562"/>
      <c r="C14" s="572"/>
      <c r="D14" s="3" t="s">
        <v>6</v>
      </c>
      <c r="E14" s="11" t="s">
        <v>7</v>
      </c>
      <c r="F14" s="12" t="s">
        <v>8</v>
      </c>
      <c r="G14" s="13" t="s">
        <v>13</v>
      </c>
      <c r="H14" s="11" t="s">
        <v>6</v>
      </c>
      <c r="I14" s="11" t="s">
        <v>7</v>
      </c>
      <c r="J14" s="12" t="s">
        <v>8</v>
      </c>
      <c r="K14" s="148" t="s">
        <v>87</v>
      </c>
      <c r="L14" s="149" t="s">
        <v>88</v>
      </c>
      <c r="M14" s="116" t="s">
        <v>42</v>
      </c>
      <c r="N14" s="11" t="s">
        <v>7</v>
      </c>
      <c r="O14" s="12" t="s">
        <v>8</v>
      </c>
      <c r="P14" s="115" t="s">
        <v>87</v>
      </c>
      <c r="Q14" s="116" t="s">
        <v>88</v>
      </c>
      <c r="R14" s="116" t="s">
        <v>42</v>
      </c>
      <c r="S14" s="11" t="s">
        <v>7</v>
      </c>
      <c r="T14" s="14" t="s">
        <v>8</v>
      </c>
      <c r="U14" s="115" t="s">
        <v>87</v>
      </c>
      <c r="V14" s="116" t="s">
        <v>88</v>
      </c>
      <c r="W14" s="116" t="s">
        <v>42</v>
      </c>
      <c r="X14" s="11" t="s">
        <v>7</v>
      </c>
      <c r="Y14" s="12" t="s">
        <v>8</v>
      </c>
      <c r="Z14" s="115" t="s">
        <v>87</v>
      </c>
      <c r="AA14" s="116" t="s">
        <v>88</v>
      </c>
      <c r="AB14" s="116" t="s">
        <v>42</v>
      </c>
      <c r="AC14" s="11" t="s">
        <v>7</v>
      </c>
      <c r="AD14" s="12" t="s">
        <v>8</v>
      </c>
      <c r="AE14" s="115" t="s">
        <v>87</v>
      </c>
      <c r="AF14" s="116" t="s">
        <v>88</v>
      </c>
      <c r="AG14" s="116" t="s">
        <v>42</v>
      </c>
      <c r="AH14" s="11" t="s">
        <v>7</v>
      </c>
      <c r="AI14" s="12" t="s">
        <v>8</v>
      </c>
    </row>
    <row r="15" spans="1:35">
      <c r="A15" s="118"/>
      <c r="B15" s="221" t="s">
        <v>4</v>
      </c>
      <c r="C15" s="222" t="s">
        <v>18</v>
      </c>
      <c r="D15" s="282">
        <v>29723.498</v>
      </c>
      <c r="E15" s="283">
        <f>'1.Metodologia'!D17</f>
        <v>0.83199999999999996</v>
      </c>
      <c r="F15" s="284">
        <f>D15*E15</f>
        <v>24729.950335999998</v>
      </c>
      <c r="G15" s="124"/>
      <c r="H15" s="104"/>
      <c r="I15" s="104"/>
      <c r="J15" s="105"/>
      <c r="K15" s="103"/>
      <c r="L15" s="150"/>
      <c r="M15" s="117"/>
      <c r="N15" s="104"/>
      <c r="O15" s="105"/>
      <c r="P15" s="103"/>
      <c r="Q15" s="117"/>
      <c r="R15" s="117"/>
      <c r="S15" s="104"/>
      <c r="T15" s="106"/>
      <c r="U15" s="103"/>
      <c r="V15" s="117"/>
      <c r="W15" s="117"/>
      <c r="X15" s="104"/>
      <c r="Y15" s="105"/>
      <c r="Z15" s="103"/>
      <c r="AA15" s="117"/>
      <c r="AB15" s="117"/>
      <c r="AC15" s="104"/>
      <c r="AD15" s="105"/>
      <c r="AE15" s="103"/>
      <c r="AF15" s="117"/>
      <c r="AG15" s="117"/>
      <c r="AH15" s="104"/>
      <c r="AI15" s="105"/>
    </row>
    <row r="16" spans="1:35">
      <c r="A16" s="2"/>
      <c r="B16" s="34" t="s">
        <v>9</v>
      </c>
      <c r="C16" s="129">
        <f t="shared" ref="C16:C21" si="1">C3</f>
        <v>3581.36</v>
      </c>
      <c r="D16" s="84"/>
      <c r="E16" s="34"/>
      <c r="F16" s="99"/>
      <c r="G16" s="311">
        <f>F3</f>
        <v>1554.3090000000002</v>
      </c>
      <c r="H16" s="287">
        <f>G16/3.6</f>
        <v>431.75250000000005</v>
      </c>
      <c r="I16" s="288">
        <f>'1.Metodologia'!D18</f>
        <v>1.0999999999999999E-2</v>
      </c>
      <c r="J16" s="289">
        <f>H16*I16</f>
        <v>4.7492775000000007</v>
      </c>
      <c r="K16" s="24"/>
      <c r="L16" s="19"/>
      <c r="M16" s="19"/>
      <c r="N16" s="19"/>
      <c r="O16" s="22"/>
      <c r="P16" s="24"/>
      <c r="Q16" s="19"/>
      <c r="R16" s="19"/>
      <c r="S16" s="19"/>
      <c r="T16" s="23"/>
      <c r="U16" s="98"/>
      <c r="V16" s="35"/>
      <c r="W16" s="35"/>
      <c r="X16" s="35"/>
      <c r="Y16" s="99"/>
      <c r="Z16" s="98"/>
      <c r="AA16" s="35"/>
      <c r="AB16" s="35"/>
      <c r="AC16" s="35"/>
      <c r="AD16" s="99"/>
      <c r="AE16" s="98"/>
      <c r="AF16" s="35"/>
      <c r="AG16" s="35"/>
      <c r="AH16" s="35"/>
      <c r="AI16" s="99"/>
    </row>
    <row r="17" spans="1:35">
      <c r="A17" s="2"/>
      <c r="B17" s="34" t="s">
        <v>10</v>
      </c>
      <c r="C17" s="129">
        <f t="shared" si="1"/>
        <v>5139.8679359999996</v>
      </c>
      <c r="D17" s="84"/>
      <c r="E17" s="34"/>
      <c r="F17" s="99"/>
      <c r="G17" s="30"/>
      <c r="H17" s="31"/>
      <c r="I17" s="31"/>
      <c r="J17" s="20"/>
      <c r="K17" s="293">
        <v>162</v>
      </c>
      <c r="L17" s="291">
        <f>C17*K17</f>
        <v>832658.6056319999</v>
      </c>
      <c r="M17" s="291">
        <f>L17/1000</f>
        <v>832.65860563199988</v>
      </c>
      <c r="N17" s="292">
        <f>'1.Metodologia'!D19</f>
        <v>0.20100000000000001</v>
      </c>
      <c r="O17" s="284">
        <f>M17*N17</f>
        <v>167.36437973203198</v>
      </c>
      <c r="P17" s="18"/>
      <c r="Q17" s="31"/>
      <c r="R17" s="31"/>
      <c r="S17" s="31"/>
      <c r="T17" s="29"/>
      <c r="U17" s="100"/>
      <c r="V17" s="101"/>
      <c r="W17" s="101"/>
      <c r="X17" s="101"/>
      <c r="Y17" s="102"/>
      <c r="Z17" s="100"/>
      <c r="AA17" s="101"/>
      <c r="AB17" s="101"/>
      <c r="AC17" s="101"/>
      <c r="AD17" s="102"/>
      <c r="AE17" s="100"/>
      <c r="AF17" s="101"/>
      <c r="AG17" s="101"/>
      <c r="AH17" s="101"/>
      <c r="AI17" s="102"/>
    </row>
    <row r="18" spans="1:35">
      <c r="A18" s="2"/>
      <c r="B18" s="34" t="s">
        <v>55</v>
      </c>
      <c r="C18" s="129">
        <f t="shared" si="1"/>
        <v>50703.748235999992</v>
      </c>
      <c r="D18" s="84"/>
      <c r="E18" s="34"/>
      <c r="F18" s="99"/>
      <c r="G18" s="30"/>
      <c r="H18" s="31"/>
      <c r="I18" s="31"/>
      <c r="J18" s="20"/>
      <c r="K18" s="18"/>
      <c r="L18" s="31"/>
      <c r="M18" s="31"/>
      <c r="N18" s="31"/>
      <c r="O18" s="20"/>
      <c r="P18" s="293">
        <v>162</v>
      </c>
      <c r="Q18" s="291">
        <f>C18*P18</f>
        <v>8214007.2142319987</v>
      </c>
      <c r="R18" s="291">
        <f>Q18/1000</f>
        <v>8214.0072142319987</v>
      </c>
      <c r="S18" s="292">
        <f>'1.Metodologia'!D21</f>
        <v>0.34100000000000003</v>
      </c>
      <c r="T18" s="284">
        <f>R18*S18</f>
        <v>2800.9764600531116</v>
      </c>
      <c r="U18" s="100"/>
      <c r="V18" s="101"/>
      <c r="W18" s="101"/>
      <c r="X18" s="101"/>
      <c r="Y18" s="102"/>
      <c r="Z18" s="100"/>
      <c r="AA18" s="101"/>
      <c r="AB18" s="101"/>
      <c r="AC18" s="101"/>
      <c r="AD18" s="102"/>
      <c r="AE18" s="100"/>
      <c r="AF18" s="101"/>
      <c r="AG18" s="101"/>
      <c r="AH18" s="101"/>
      <c r="AI18" s="102"/>
    </row>
    <row r="19" spans="1:35">
      <c r="A19" s="2"/>
      <c r="B19" s="34" t="s">
        <v>84</v>
      </c>
      <c r="C19" s="129">
        <f t="shared" si="1"/>
        <v>44410.032395999995</v>
      </c>
      <c r="D19" s="84"/>
      <c r="E19" s="34"/>
      <c r="F19" s="99"/>
      <c r="G19" s="30"/>
      <c r="H19" s="31"/>
      <c r="I19" s="31"/>
      <c r="J19" s="20"/>
      <c r="K19" s="18"/>
      <c r="L19" s="31"/>
      <c r="M19" s="31"/>
      <c r="N19" s="31"/>
      <c r="O19" s="20"/>
      <c r="P19" s="18"/>
      <c r="Q19" s="31"/>
      <c r="R19" s="31"/>
      <c r="S19" s="31"/>
      <c r="T19" s="29"/>
      <c r="U19" s="293">
        <v>162</v>
      </c>
      <c r="V19" s="291">
        <f>U19*C19</f>
        <v>7194425.248151999</v>
      </c>
      <c r="W19" s="291">
        <f>V19/1000</f>
        <v>7194.4252481519989</v>
      </c>
      <c r="X19" s="292">
        <f>'1.Metodologia'!D23</f>
        <v>0</v>
      </c>
      <c r="Y19" s="284">
        <f>W19*X19</f>
        <v>0</v>
      </c>
      <c r="Z19" s="18"/>
      <c r="AA19" s="31"/>
      <c r="AB19" s="31"/>
      <c r="AC19" s="125"/>
      <c r="AD19" s="20"/>
      <c r="AE19" s="18"/>
      <c r="AF19" s="31"/>
      <c r="AG19" s="31"/>
      <c r="AH19" s="125"/>
      <c r="AI19" s="20"/>
    </row>
    <row r="20" spans="1:35">
      <c r="A20" s="2"/>
      <c r="B20" s="34" t="s">
        <v>16</v>
      </c>
      <c r="C20" s="129">
        <f t="shared" si="1"/>
        <v>14173.972548</v>
      </c>
      <c r="D20" s="84"/>
      <c r="E20" s="34"/>
      <c r="F20" s="99"/>
      <c r="G20" s="30"/>
      <c r="H20" s="31"/>
      <c r="I20" s="31"/>
      <c r="J20" s="20"/>
      <c r="K20" s="18"/>
      <c r="L20" s="31"/>
      <c r="M20" s="31"/>
      <c r="N20" s="31"/>
      <c r="O20" s="20"/>
      <c r="P20" s="18"/>
      <c r="Q20" s="31"/>
      <c r="R20" s="31"/>
      <c r="S20" s="31"/>
      <c r="T20" s="29"/>
      <c r="U20" s="18"/>
      <c r="V20" s="31"/>
      <c r="W20" s="31"/>
      <c r="X20" s="125"/>
      <c r="Y20" s="20"/>
      <c r="Z20" s="293">
        <v>162</v>
      </c>
      <c r="AA20" s="291">
        <f>Z20*C20</f>
        <v>2296183.552776</v>
      </c>
      <c r="AB20" s="291">
        <f>AA20/1000</f>
        <v>2296.1835527759999</v>
      </c>
      <c r="AC20" s="292">
        <f>'1.Metodologia'!D22</f>
        <v>0.27600000000000002</v>
      </c>
      <c r="AD20" s="284">
        <f>AB20*AC20</f>
        <v>633.74666056617605</v>
      </c>
      <c r="AE20" s="18"/>
      <c r="AF20" s="31"/>
      <c r="AG20" s="31"/>
      <c r="AH20" s="125"/>
      <c r="AI20" s="20"/>
    </row>
    <row r="21" spans="1:35" ht="15.75" thickBot="1">
      <c r="A21" s="2"/>
      <c r="B21" s="34" t="s">
        <v>56</v>
      </c>
      <c r="C21" s="129">
        <f t="shared" si="1"/>
        <v>13110.098818934159</v>
      </c>
      <c r="D21" s="84"/>
      <c r="E21" s="34"/>
      <c r="F21" s="99"/>
      <c r="G21" s="30"/>
      <c r="H21" s="31"/>
      <c r="I21" s="31"/>
      <c r="J21" s="20"/>
      <c r="K21" s="18"/>
      <c r="L21" s="31"/>
      <c r="M21" s="31"/>
      <c r="N21" s="31"/>
      <c r="O21" s="20"/>
      <c r="P21" s="18"/>
      <c r="Q21" s="31"/>
      <c r="R21" s="31"/>
      <c r="S21" s="31"/>
      <c r="T21" s="29"/>
      <c r="U21" s="18"/>
      <c r="V21" s="31"/>
      <c r="W21" s="31"/>
      <c r="X21" s="125"/>
      <c r="Y21" s="20"/>
      <c r="Z21" s="18"/>
      <c r="AA21" s="31"/>
      <c r="AB21" s="31"/>
      <c r="AC21" s="125"/>
      <c r="AD21" s="20"/>
      <c r="AE21" s="293">
        <v>162</v>
      </c>
      <c r="AF21" s="291">
        <f>AE21*C21</f>
        <v>2123836.0086673335</v>
      </c>
      <c r="AG21" s="291">
        <f>AF21/1000</f>
        <v>2123.8360086673333</v>
      </c>
      <c r="AH21" s="292">
        <f>'1.Metodologia'!D26</f>
        <v>0.22500000000000001</v>
      </c>
      <c r="AI21" s="284">
        <f>AG21*AH21</f>
        <v>477.86310195015</v>
      </c>
    </row>
    <row r="22" spans="1:35" ht="15.75" thickBot="1">
      <c r="A22" s="42"/>
      <c r="B22" s="126" t="s">
        <v>50</v>
      </c>
      <c r="C22" s="127">
        <f>SUM(C16:C21)</f>
        <v>131119.07993493415</v>
      </c>
      <c r="D22" s="131">
        <f>SUM(D15:D21)</f>
        <v>29723.498</v>
      </c>
      <c r="E22" s="130"/>
      <c r="F22" s="26">
        <f>SUM(F15:F21)</f>
        <v>24729.950335999998</v>
      </c>
      <c r="G22" s="27"/>
      <c r="H22" s="25">
        <f>SUM(H16:H21)</f>
        <v>431.75250000000005</v>
      </c>
      <c r="I22" s="25"/>
      <c r="J22" s="26">
        <f>SUM(J16:J21)</f>
        <v>4.7492775000000007</v>
      </c>
      <c r="K22" s="28"/>
      <c r="L22" s="25"/>
      <c r="M22" s="25">
        <f>SUM(M16:M21)</f>
        <v>832.65860563199988</v>
      </c>
      <c r="N22" s="25"/>
      <c r="O22" s="25">
        <f>SUM(O16:O21)</f>
        <v>167.36437973203198</v>
      </c>
      <c r="P22" s="28"/>
      <c r="Q22" s="25"/>
      <c r="R22" s="25">
        <f>SUM(R16:R21)</f>
        <v>8214.0072142319987</v>
      </c>
      <c r="S22" s="25"/>
      <c r="T22" s="25">
        <f>SUM(T16:T21)</f>
        <v>2800.9764600531116</v>
      </c>
      <c r="U22" s="28"/>
      <c r="V22" s="25"/>
      <c r="W22" s="25">
        <f>SUM(W16:W21)</f>
        <v>7194.4252481519989</v>
      </c>
      <c r="X22" s="128"/>
      <c r="Y22" s="25">
        <f>SUM(Y16:Y21)</f>
        <v>0</v>
      </c>
      <c r="Z22" s="28"/>
      <c r="AA22" s="25"/>
      <c r="AB22" s="25">
        <f>SUM(AB16:AB21)</f>
        <v>2296.1835527759999</v>
      </c>
      <c r="AC22" s="128"/>
      <c r="AD22" s="25">
        <f>SUM(AD16:AD21)</f>
        <v>633.74666056617605</v>
      </c>
      <c r="AE22" s="28"/>
      <c r="AF22" s="25"/>
      <c r="AG22" s="25">
        <f>SUM(AG16:AG21)</f>
        <v>2123.8360086673333</v>
      </c>
      <c r="AH22" s="128"/>
      <c r="AI22" s="26">
        <f>SUM(AI16:AI21)</f>
        <v>477.86310195015</v>
      </c>
    </row>
    <row r="25" spans="1:35" ht="15.75" thickBot="1"/>
    <row r="26" spans="1:35" ht="24.75" thickBot="1">
      <c r="B26" s="273" t="s">
        <v>59</v>
      </c>
      <c r="C26" s="274" t="s">
        <v>60</v>
      </c>
      <c r="D26" s="275" t="s">
        <v>62</v>
      </c>
      <c r="E26" s="276" t="s">
        <v>36</v>
      </c>
      <c r="F26" s="275" t="s">
        <v>62</v>
      </c>
    </row>
    <row r="27" spans="1:35">
      <c r="B27" s="123" t="s">
        <v>4</v>
      </c>
      <c r="C27" s="144">
        <f>D22</f>
        <v>29723.498</v>
      </c>
      <c r="D27" s="136">
        <f>C27/$C$34</f>
        <v>0.5849198435180486</v>
      </c>
      <c r="E27" s="140">
        <f>F22</f>
        <v>24729.950335999998</v>
      </c>
      <c r="F27" s="136">
        <f>E27/$E$34</f>
        <v>0.85824225353388151</v>
      </c>
    </row>
    <row r="28" spans="1:35">
      <c r="B28" s="132" t="s">
        <v>9</v>
      </c>
      <c r="C28" s="145">
        <f>H22</f>
        <v>431.75250000000005</v>
      </c>
      <c r="D28" s="133">
        <f t="shared" ref="D28:D34" si="2">C28/$C$34</f>
        <v>8.4963285525319499E-3</v>
      </c>
      <c r="E28" s="141">
        <f>J22</f>
        <v>4.7492775000000007</v>
      </c>
      <c r="F28" s="133">
        <f t="shared" ref="F28:F34" si="3">E28/$E$34</f>
        <v>1.6482162595871376E-4</v>
      </c>
    </row>
    <row r="29" spans="1:35">
      <c r="B29" s="134" t="s">
        <v>10</v>
      </c>
      <c r="C29" s="145">
        <f>M22</f>
        <v>832.65860563199988</v>
      </c>
      <c r="D29" s="133">
        <f t="shared" si="2"/>
        <v>1.6385640119148354E-2</v>
      </c>
      <c r="E29" s="141">
        <f>O22</f>
        <v>167.36437973203198</v>
      </c>
      <c r="F29" s="133">
        <f t="shared" si="3"/>
        <v>5.8083085679885215E-3</v>
      </c>
    </row>
    <row r="30" spans="1:35">
      <c r="B30" s="134" t="s">
        <v>55</v>
      </c>
      <c r="C30" s="145">
        <f>R22</f>
        <v>8214.0072142319987</v>
      </c>
      <c r="D30" s="133">
        <f t="shared" si="2"/>
        <v>0.16164099576721094</v>
      </c>
      <c r="E30" s="141">
        <f>T22</f>
        <v>2800.9764600531116</v>
      </c>
      <c r="F30" s="133">
        <f t="shared" si="3"/>
        <v>9.7206679209213623E-2</v>
      </c>
    </row>
    <row r="31" spans="1:35">
      <c r="B31" s="134" t="s">
        <v>84</v>
      </c>
      <c r="C31" s="145">
        <f>W22</f>
        <v>7194.4252481519989</v>
      </c>
      <c r="D31" s="133">
        <f t="shared" si="2"/>
        <v>0.14157694664172316</v>
      </c>
      <c r="E31" s="141">
        <f>Y22</f>
        <v>0</v>
      </c>
      <c r="F31" s="133">
        <f t="shared" si="3"/>
        <v>0</v>
      </c>
    </row>
    <row r="32" spans="1:35">
      <c r="B32" s="134" t="s">
        <v>16</v>
      </c>
      <c r="C32" s="145">
        <f>AB22</f>
        <v>2296.1835527759999</v>
      </c>
      <c r="D32" s="133">
        <f t="shared" si="2"/>
        <v>4.5185910634692281E-2</v>
      </c>
      <c r="E32" s="141">
        <f>AD22</f>
        <v>633.74666056617605</v>
      </c>
      <c r="F32" s="133">
        <f t="shared" si="3"/>
        <v>2.1993904344486542E-2</v>
      </c>
    </row>
    <row r="33" spans="2:6" ht="15.75" thickBot="1">
      <c r="B33" s="137" t="s">
        <v>56</v>
      </c>
      <c r="C33" s="146">
        <f>AG22</f>
        <v>2123.8360086673333</v>
      </c>
      <c r="D33" s="138">
        <f t="shared" si="2"/>
        <v>4.1794334766644674E-2</v>
      </c>
      <c r="E33" s="142">
        <f>AI22</f>
        <v>477.86310195015</v>
      </c>
      <c r="F33" s="138">
        <f t="shared" si="3"/>
        <v>1.6584032718471035E-2</v>
      </c>
    </row>
    <row r="34" spans="2:6" ht="15.75" thickBot="1">
      <c r="B34" s="139" t="s">
        <v>50</v>
      </c>
      <c r="C34" s="147">
        <f>SUM(C27:C33)</f>
        <v>50816.361129459336</v>
      </c>
      <c r="D34" s="135">
        <f t="shared" si="2"/>
        <v>1</v>
      </c>
      <c r="E34" s="143">
        <f>SUM(E27:E33)</f>
        <v>28814.65021580147</v>
      </c>
      <c r="F34" s="135">
        <f t="shared" si="3"/>
        <v>1</v>
      </c>
    </row>
  </sheetData>
  <mergeCells count="19">
    <mergeCell ref="A13:A14"/>
    <mergeCell ref="B13:B14"/>
    <mergeCell ref="C13:C14"/>
    <mergeCell ref="D13:F13"/>
    <mergeCell ref="AE13:AI13"/>
    <mergeCell ref="G13:J13"/>
    <mergeCell ref="P13:T13"/>
    <mergeCell ref="U13:Y13"/>
    <mergeCell ref="Z13:AD13"/>
    <mergeCell ref="K13:O13"/>
    <mergeCell ref="C7:D7"/>
    <mergeCell ref="C8:D8"/>
    <mergeCell ref="C9:D9"/>
    <mergeCell ref="C10:D10"/>
    <mergeCell ref="C2:D2"/>
    <mergeCell ref="C3:D3"/>
    <mergeCell ref="C4:D4"/>
    <mergeCell ref="C5:D5"/>
    <mergeCell ref="C6:D6"/>
  </mergeCells>
  <pageMargins left="0.7" right="0.7" top="0.75" bottom="0.75" header="0.3" footer="0.3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5</vt:i4>
      </vt:variant>
    </vt:vector>
  </HeadingPairs>
  <TitlesOfParts>
    <vt:vector size="18" baseType="lpstr">
      <vt:lpstr>Strona tytułowa</vt:lpstr>
      <vt:lpstr>Spis treści</vt:lpstr>
      <vt:lpstr>1.Metodologia</vt:lpstr>
      <vt:lpstr>2. Użyteczność publiczna</vt:lpstr>
      <vt:lpstr>3. Mieszkalnictwo</vt:lpstr>
      <vt:lpstr>4. Transport</vt:lpstr>
      <vt:lpstr>5. Oświetlenie</vt:lpstr>
      <vt:lpstr>6. Wod-kan</vt:lpstr>
      <vt:lpstr>7. Przemysł i usługi</vt:lpstr>
      <vt:lpstr>8. Podsumowanie</vt:lpstr>
      <vt:lpstr>9. Prognoza 2020</vt:lpstr>
      <vt:lpstr>10. Raport z działań 2020</vt:lpstr>
      <vt:lpstr>11. HRF 2021-2030</vt:lpstr>
      <vt:lpstr>'4. Transport'!Obszar_wydruku</vt:lpstr>
      <vt:lpstr>'7. Przemysł i usługi'!Obszar_wydruku</vt:lpstr>
      <vt:lpstr>'9. Prognoza 2020'!Obszar_wydruku</vt:lpstr>
      <vt:lpstr>'Spis treści'!Obszar_wydruku</vt:lpstr>
      <vt:lpstr>'Strona tytułowa'!Obszar_wydruku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MarekK</dc:creator>
  <cp:lastModifiedBy>basz12345@outlook.com</cp:lastModifiedBy>
  <dcterms:created xsi:type="dcterms:W3CDTF">2015-04-15T09:30:21Z</dcterms:created>
  <dcterms:modified xsi:type="dcterms:W3CDTF">2022-03-30T09:09:08Z</dcterms:modified>
</cp:coreProperties>
</file>